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05" windowWidth="22980" windowHeight="9555" tabRatio="956" activeTab="3"/>
  </bookViews>
  <sheets>
    <sheet name="POSTO NOTURNO 12X36 - ALFENAS" sheetId="2" r:id="rId1"/>
    <sheet name="POSTO NOTURNO 12X36 - VARGINHA" sheetId="4" r:id="rId2"/>
    <sheet name="POSTO NOTURNO 12X36 POÇOS" sheetId="6" r:id="rId3"/>
    <sheet name="QUADRO-RESUMO" sheetId="7" r:id="rId4"/>
  </sheets>
  <calcPr calcId="125725"/>
</workbook>
</file>

<file path=xl/calcChain.xml><?xml version="1.0" encoding="utf-8"?>
<calcChain xmlns="http://schemas.openxmlformats.org/spreadsheetml/2006/main">
  <c r="F7" i="7"/>
  <c r="D7"/>
  <c r="D47" i="4"/>
  <c r="D47" i="6"/>
  <c r="G4" i="7" l="1"/>
  <c r="G5"/>
  <c r="G6"/>
  <c r="G7" l="1"/>
  <c r="E56" i="6" l="1"/>
  <c r="E62" s="1"/>
  <c r="E67" s="1"/>
  <c r="D127"/>
  <c r="C120"/>
  <c r="D120" s="1"/>
  <c r="E108"/>
  <c r="E136" s="1"/>
  <c r="D89"/>
  <c r="D88"/>
  <c r="D87"/>
  <c r="D86"/>
  <c r="D85"/>
  <c r="D76"/>
  <c r="D74"/>
  <c r="D73"/>
  <c r="D72"/>
  <c r="D71"/>
  <c r="E57"/>
  <c r="D53"/>
  <c r="D75" s="1"/>
  <c r="D38"/>
  <c r="D37"/>
  <c r="D36"/>
  <c r="E27"/>
  <c r="E28" s="1"/>
  <c r="E113" l="1"/>
  <c r="E29"/>
  <c r="E31" s="1"/>
  <c r="E32" s="1"/>
  <c r="E30"/>
  <c r="E76" l="1"/>
  <c r="E40"/>
  <c r="E71"/>
  <c r="E132"/>
  <c r="E37"/>
  <c r="E78"/>
  <c r="E73"/>
  <c r="E36"/>
  <c r="E109"/>
  <c r="E74"/>
  <c r="E75" s="1"/>
  <c r="E38" l="1"/>
  <c r="E39" s="1"/>
  <c r="E72"/>
  <c r="E77" s="1"/>
  <c r="E134" l="1"/>
  <c r="E80"/>
  <c r="E111"/>
  <c r="E65"/>
  <c r="E41"/>
  <c r="E42" s="1"/>
  <c r="E49" l="1"/>
  <c r="E48"/>
  <c r="E46"/>
  <c r="E52"/>
  <c r="E45"/>
  <c r="E51"/>
  <c r="E50"/>
  <c r="E47"/>
  <c r="E53" l="1"/>
  <c r="E66" s="1"/>
  <c r="E68" s="1"/>
  <c r="E79"/>
  <c r="E81" s="1"/>
  <c r="E110"/>
  <c r="E133"/>
  <c r="E90" l="1"/>
  <c r="E94"/>
  <c r="E95" s="1"/>
  <c r="E99" s="1"/>
  <c r="E86"/>
  <c r="E88"/>
  <c r="E89"/>
  <c r="E87"/>
  <c r="E85"/>
  <c r="E91" l="1"/>
  <c r="E98" s="1"/>
  <c r="E100" s="1"/>
  <c r="E101" s="1"/>
  <c r="E135" l="1"/>
  <c r="E137" s="1"/>
  <c r="E112"/>
  <c r="E114" s="1"/>
  <c r="E117" l="1"/>
  <c r="E118" l="1"/>
  <c r="E119" s="1"/>
  <c r="E120" s="1"/>
  <c r="E126" l="1"/>
  <c r="E123"/>
  <c r="E122"/>
  <c r="E127" l="1"/>
  <c r="E128" s="1"/>
  <c r="E129" s="1"/>
  <c r="E138" s="1"/>
  <c r="E139" s="1"/>
  <c r="C6" i="7" s="1"/>
  <c r="E6" s="1"/>
  <c r="H6" s="1"/>
  <c r="I6" s="1"/>
  <c r="E56" i="4" l="1"/>
  <c r="D127"/>
  <c r="C120"/>
  <c r="D120" s="1"/>
  <c r="E108"/>
  <c r="E136" s="1"/>
  <c r="D89"/>
  <c r="D88"/>
  <c r="D87"/>
  <c r="D86"/>
  <c r="D85"/>
  <c r="D76"/>
  <c r="D74"/>
  <c r="D73"/>
  <c r="D72"/>
  <c r="D71"/>
  <c r="E57"/>
  <c r="D53"/>
  <c r="D75" s="1"/>
  <c r="D37"/>
  <c r="D36"/>
  <c r="D38" s="1"/>
  <c r="E27"/>
  <c r="E62" l="1"/>
  <c r="E67" s="1"/>
  <c r="E28"/>
  <c r="E113"/>
  <c r="E30" l="1"/>
  <c r="E29"/>
  <c r="E31" s="1"/>
  <c r="E32" s="1"/>
  <c r="E109" l="1"/>
  <c r="E76"/>
  <c r="E40"/>
  <c r="E71"/>
  <c r="E73"/>
  <c r="E37"/>
  <c r="E78"/>
  <c r="E36"/>
  <c r="E38" s="1"/>
  <c r="E39" s="1"/>
  <c r="E132"/>
  <c r="E74"/>
  <c r="E75" s="1"/>
  <c r="E72" l="1"/>
  <c r="E77" s="1"/>
  <c r="E65"/>
  <c r="E41"/>
  <c r="E42"/>
  <c r="E134" l="1"/>
  <c r="E111"/>
  <c r="E80"/>
  <c r="E50"/>
  <c r="E49"/>
  <c r="E48"/>
  <c r="E47"/>
  <c r="E46"/>
  <c r="E52"/>
  <c r="E45"/>
  <c r="E51"/>
  <c r="E53" l="1"/>
  <c r="E66" s="1"/>
  <c r="E68" s="1"/>
  <c r="E133"/>
  <c r="E110"/>
  <c r="E79"/>
  <c r="E81" s="1"/>
  <c r="E90" l="1"/>
  <c r="E89"/>
  <c r="E85"/>
  <c r="E94"/>
  <c r="E95" s="1"/>
  <c r="E99" s="1"/>
  <c r="E86"/>
  <c r="E88"/>
  <c r="E87"/>
  <c r="E91" l="1"/>
  <c r="E98" s="1"/>
  <c r="E100" s="1"/>
  <c r="E101" s="1"/>
  <c r="E135" l="1"/>
  <c r="E137" s="1"/>
  <c r="E112"/>
  <c r="E114" s="1"/>
  <c r="E117" l="1"/>
  <c r="E118" s="1"/>
  <c r="E119" l="1"/>
  <c r="E120" s="1"/>
  <c r="E126" l="1"/>
  <c r="E123"/>
  <c r="E122"/>
  <c r="E127" l="1"/>
  <c r="E128" s="1"/>
  <c r="E129" s="1"/>
  <c r="E138" s="1"/>
  <c r="E139" s="1"/>
  <c r="C5" i="7" s="1"/>
  <c r="E5" s="1"/>
  <c r="H5" s="1"/>
  <c r="I5" s="1"/>
  <c r="E29" i="2" l="1"/>
  <c r="E31"/>
  <c r="E30"/>
  <c r="D127" l="1"/>
  <c r="C120" s="1"/>
  <c r="D120" s="1"/>
  <c r="E108"/>
  <c r="E136" s="1"/>
  <c r="D89"/>
  <c r="D88"/>
  <c r="D87"/>
  <c r="D86"/>
  <c r="D85"/>
  <c r="D76"/>
  <c r="D74"/>
  <c r="D73"/>
  <c r="D72"/>
  <c r="D71"/>
  <c r="E57"/>
  <c r="D47"/>
  <c r="D53" s="1"/>
  <c r="D75" s="1"/>
  <c r="D37"/>
  <c r="D36"/>
  <c r="D38" s="1"/>
  <c r="E27"/>
  <c r="E62" l="1"/>
  <c r="E67" s="1"/>
  <c r="E28"/>
  <c r="E32" s="1"/>
  <c r="E71" s="1"/>
  <c r="E113"/>
  <c r="E40" l="1"/>
  <c r="E36"/>
  <c r="E76"/>
  <c r="E109"/>
  <c r="E37"/>
  <c r="E73"/>
  <c r="E78"/>
  <c r="E132"/>
  <c r="E74"/>
  <c r="E75" s="1"/>
  <c r="E72"/>
  <c r="E38" l="1"/>
  <c r="E39" s="1"/>
  <c r="E77"/>
  <c r="E134"/>
  <c r="E111"/>
  <c r="E80"/>
  <c r="E65" l="1"/>
  <c r="E41"/>
  <c r="E42" s="1"/>
  <c r="E46" l="1"/>
  <c r="E51"/>
  <c r="E47"/>
  <c r="E45"/>
  <c r="E49"/>
  <c r="E52"/>
  <c r="E48"/>
  <c r="E50"/>
  <c r="E53" l="1"/>
  <c r="E66" s="1"/>
  <c r="E68" s="1"/>
  <c r="E110" l="1"/>
  <c r="E133"/>
  <c r="E79"/>
  <c r="E81" s="1"/>
  <c r="E94" l="1"/>
  <c r="E95" s="1"/>
  <c r="E99" s="1"/>
  <c r="E90"/>
  <c r="E85"/>
  <c r="E87"/>
  <c r="E86"/>
  <c r="E88"/>
  <c r="E89"/>
  <c r="E91" l="1"/>
  <c r="E98" s="1"/>
  <c r="E100" s="1"/>
  <c r="E101" s="1"/>
  <c r="E112" l="1"/>
  <c r="E114" s="1"/>
  <c r="E117" s="1"/>
  <c r="E118" s="1"/>
  <c r="E119" s="1"/>
  <c r="E120" s="1"/>
  <c r="E135"/>
  <c r="E137" s="1"/>
  <c r="E126" l="1"/>
  <c r="E123"/>
  <c r="E122"/>
  <c r="E127" l="1"/>
  <c r="E128" s="1"/>
  <c r="E129" s="1"/>
  <c r="E138" s="1"/>
  <c r="E139" s="1"/>
  <c r="C4" i="7" s="1"/>
  <c r="C7" s="1"/>
  <c r="E4" l="1"/>
  <c r="E7" s="1"/>
  <c r="H4" l="1"/>
  <c r="H7" s="1"/>
  <c r="I4" l="1"/>
  <c r="I7" s="1"/>
</calcChain>
</file>

<file path=xl/sharedStrings.xml><?xml version="1.0" encoding="utf-8"?>
<sst xmlns="http://schemas.openxmlformats.org/spreadsheetml/2006/main" count="714" uniqueCount="170">
  <si>
    <t>PLANILHA DE CUSTOS E FORMAÇÃO DE PREÇOS</t>
  </si>
  <si>
    <t>n1</t>
  </si>
  <si>
    <t>n2</t>
  </si>
  <si>
    <r>
      <t>N</t>
    </r>
    <r>
      <rPr>
        <b/>
        <strike/>
        <sz val="11"/>
        <rFont val="Calibri"/>
        <family val="2"/>
        <scheme val="minor"/>
      </rPr>
      <t>º</t>
    </r>
    <r>
      <rPr>
        <b/>
        <sz val="11"/>
        <rFont val="Calibri"/>
        <family val="2"/>
        <scheme val="minor"/>
      </rPr>
      <t xml:space="preserve"> Processo</t>
    </r>
  </si>
  <si>
    <r>
      <t>Licitação N</t>
    </r>
    <r>
      <rPr>
        <b/>
        <strike/>
        <sz val="11"/>
        <rFont val="Calibri"/>
        <family val="2"/>
        <scheme val="minor"/>
      </rPr>
      <t>º</t>
    </r>
    <r>
      <rPr>
        <b/>
        <sz val="11"/>
        <rFont val="Calibri"/>
        <family val="2"/>
        <scheme val="minor"/>
      </rPr>
      <t xml:space="preserve"> </t>
    </r>
  </si>
  <si>
    <t>DIA:06/03/2018 às 09:00</t>
  </si>
  <si>
    <t>Discriminação dos Serviços (dados referentes à contratação)</t>
  </si>
  <si>
    <t>A</t>
  </si>
  <si>
    <t>Data de apresentação da proposta (dia/mês/ano)</t>
  </si>
  <si>
    <t>B</t>
  </si>
  <si>
    <t>Município/UF</t>
  </si>
  <si>
    <t>C</t>
  </si>
  <si>
    <t>Ano Acordo, Convenção ou Dissídio Coletivo</t>
  </si>
  <si>
    <t>2018/2019</t>
  </si>
  <si>
    <t>D</t>
  </si>
  <si>
    <t>Número de meses de execução contratual</t>
  </si>
  <si>
    <t>12 MESES</t>
  </si>
  <si>
    <t>Identificação do Serviço</t>
  </si>
  <si>
    <t>Tipo de Serviço</t>
  </si>
  <si>
    <t>Unidade de Medida</t>
  </si>
  <si>
    <t>Quantidade Total a Contratar (em função da Unidade de Medida)</t>
  </si>
  <si>
    <t>POSTO</t>
  </si>
  <si>
    <t>2 VIGILANTES</t>
  </si>
  <si>
    <t>MÃO DE OBRA</t>
  </si>
  <si>
    <t>Mão de obra vinculada à execução contratual</t>
  </si>
  <si>
    <t>Dados para composição dos custos referente à mão de obra</t>
  </si>
  <si>
    <t>Valor (R$)</t>
  </si>
  <si>
    <t>Tipo de Serviço (mesmo serviço com características distintas)</t>
  </si>
  <si>
    <t xml:space="preserve">Classificação Brasileira de Ocupações (CBO) </t>
  </si>
  <si>
    <t>CBO - 5173-30</t>
  </si>
  <si>
    <t>Salário Normativo da Categoria Profissional</t>
  </si>
  <si>
    <t>Categoria Profissional (vinculada à execução contratual)</t>
  </si>
  <si>
    <t>Data-Base da Categoria (dia/mês/ano)</t>
  </si>
  <si>
    <t>MÓDULO 1 : COMPOSIÇÃO DA REMUNERAÇÃO</t>
  </si>
  <si>
    <t>Composição da Remuneração</t>
  </si>
  <si>
    <t>(NOTA 1 e 2)</t>
  </si>
  <si>
    <t>Salário-Base</t>
  </si>
  <si>
    <t>Adicional de Periculosidade</t>
  </si>
  <si>
    <r>
      <t xml:space="preserve">30% sobre o salário-base </t>
    </r>
    <r>
      <rPr>
        <b/>
        <sz val="11"/>
        <color theme="0"/>
        <rFont val="Calibri"/>
        <family val="2"/>
        <scheme val="minor"/>
      </rPr>
      <t>'</t>
    </r>
  </si>
  <si>
    <t>Adicional Noturno</t>
  </si>
  <si>
    <r>
      <t xml:space="preserve">20% sobre  a hora diurna </t>
    </r>
    <r>
      <rPr>
        <b/>
        <sz val="11"/>
        <color rgb="FFFF0000"/>
        <rFont val="Calibri"/>
        <family val="2"/>
        <scheme val="minor"/>
      </rPr>
      <t>(considerar SOMENTE o intervalo das 22h às 05h, sem extensão do adiconal após as 05h - CLT art. 59-A §1º)</t>
    </r>
  </si>
  <si>
    <t>E</t>
  </si>
  <si>
    <t xml:space="preserve">Adicional de Hora Noturna Reduzida </t>
  </si>
  <si>
    <t>+ 1 hora por dia trabalhado</t>
  </si>
  <si>
    <t>F</t>
  </si>
  <si>
    <t>G</t>
  </si>
  <si>
    <t>TOTAL</t>
  </si>
  <si>
    <t>MÓDULO 1:   TOTAL</t>
  </si>
  <si>
    <t xml:space="preserve"> MÓDULO 2: ENCARGOS E BENEFÍCIOS ANUAIS, MENSAIS E DIÁRIOS</t>
  </si>
  <si>
    <t>SUBMÓDULO 2.1   -  DÉCIMO TERCEIRO SALÁRIO, FÉRIAS E ADICIONAL DE FÉRIAS</t>
  </si>
  <si>
    <t>2.1</t>
  </si>
  <si>
    <t>13º  Salário, Férias e Adicional de Férias</t>
  </si>
  <si>
    <t>13º (décimo terceiro) Salário</t>
  </si>
  <si>
    <t>Férias e Adicional de Férias</t>
  </si>
  <si>
    <t>SUBMÓDULO 2.1:   TOTAL</t>
  </si>
  <si>
    <t xml:space="preserve">BASE DE CÁLCULO PARA O MÓDULO 2.2 </t>
  </si>
  <si>
    <t xml:space="preserve"> MÓDULO 1</t>
  </si>
  <si>
    <t xml:space="preserve"> MÓDULO 2.1</t>
  </si>
  <si>
    <t>SUBMÓDULO 2.2 – ENCARGOS PREVIDENCIÁRIOS (GPS), FUNDO DE GARANTIA POR TEMPO DE SERVIÇOS (FGTS) E OUTRAS CONTRIBUIÇÕES</t>
  </si>
  <si>
    <t>2.2</t>
  </si>
  <si>
    <t>GPS, FGTS e outras contribuições</t>
  </si>
  <si>
    <t xml:space="preserve">INSS </t>
  </si>
  <si>
    <t>SALÁRIO EDUCAÇÃO</t>
  </si>
  <si>
    <t>SESI / SESC</t>
  </si>
  <si>
    <t>SENAI / SENAC</t>
  </si>
  <si>
    <t>SEBRAE</t>
  </si>
  <si>
    <t>INCRA</t>
  </si>
  <si>
    <t>H</t>
  </si>
  <si>
    <t>FGTS</t>
  </si>
  <si>
    <t>SUBMÓDULO 2.3   -  BENEFÍCIOS MENSAIS E DIÁRIOS</t>
  </si>
  <si>
    <t>2.3</t>
  </si>
  <si>
    <t>Benefícios Mensais e Diários</t>
  </si>
  <si>
    <t xml:space="preserve">Transporte </t>
  </si>
  <si>
    <t xml:space="preserve">Auxílio Refeição/Alimentação </t>
  </si>
  <si>
    <t>22 por mes?</t>
  </si>
  <si>
    <t xml:space="preserve">Assistência Médica e Familiar </t>
  </si>
  <si>
    <t>Seguro de Vida</t>
  </si>
  <si>
    <t>Outros</t>
  </si>
  <si>
    <t xml:space="preserve">TOTAL </t>
  </si>
  <si>
    <t>QUADRO-RESUMO DO MÓDULO 2 - ENCARGOS E BENEFÍCIOS ANUAIS, MENSAIS E DIÁRIOS</t>
  </si>
  <si>
    <t xml:space="preserve"> Encargos e Benefícios Anuais, Mensais e Diários </t>
  </si>
  <si>
    <t>MÓDULO 3 - PROVISÃO PARA RESCISÃO</t>
  </si>
  <si>
    <t>Provisão para Rescisão</t>
  </si>
  <si>
    <t>Aviso Prévio Indenizado</t>
  </si>
  <si>
    <r>
      <t xml:space="preserve">Incidência do FGTS </t>
    </r>
    <r>
      <rPr>
        <b/>
        <sz val="11"/>
        <rFont val="Calibri"/>
        <family val="2"/>
        <scheme val="minor"/>
      </rPr>
      <t>sobre Aviso Prévio Indenizado</t>
    </r>
    <r>
      <rPr>
        <sz val="11"/>
        <rFont val="Calibri"/>
        <family val="2"/>
        <scheme val="minor"/>
      </rPr>
      <t xml:space="preserve"> </t>
    </r>
    <r>
      <rPr>
        <i/>
        <sz val="10"/>
        <color rgb="FF002060"/>
        <rFont val="Calibri"/>
        <family val="2"/>
        <scheme val="minor"/>
      </rPr>
      <t/>
    </r>
  </si>
  <si>
    <r>
      <t xml:space="preserve"> Multa do FGTS e Contribuição Social sobre o Aviso Prévio Indenizado </t>
    </r>
    <r>
      <rPr>
        <b/>
        <sz val="11"/>
        <color rgb="FFFF0000"/>
        <rFont val="Calibri"/>
        <family val="2"/>
        <scheme val="minor"/>
      </rPr>
      <t xml:space="preserve">(sobre a Remuneração) </t>
    </r>
  </si>
  <si>
    <t>Aviso Prévio Trabalhado</t>
  </si>
  <si>
    <t xml:space="preserve">Incidência dos encargos do submódulo 2.2 sobre o Aviso Prévio Trabalhado </t>
  </si>
  <si>
    <r>
      <t xml:space="preserve"> Multa do FGTS e contribuição social sobre o Aviso Prévio Trabalhado </t>
    </r>
    <r>
      <rPr>
        <b/>
        <sz val="11"/>
        <color rgb="FFFF0000"/>
        <rFont val="Calibri"/>
        <family val="2"/>
        <scheme val="minor"/>
      </rPr>
      <t xml:space="preserve">(sobre a Remuneração) </t>
    </r>
  </si>
  <si>
    <t>BASE DE CÁLCULO PARA O MÓDULO 4 = MÓDULO 1 + MÓDULO 2 + MÓDULO 3</t>
  </si>
  <si>
    <t>MÓDULO 2</t>
  </si>
  <si>
    <t xml:space="preserve"> MÓDULO 3</t>
  </si>
  <si>
    <t>MÓDULO 4 - CUSTO DE REPOSIÇÃO DO PROFISSIONAL AUSENTE</t>
  </si>
  <si>
    <t>SUBMÓDULO 4.1 - AUSÊNCIAS LEGAIS</t>
  </si>
  <si>
    <t>4.1</t>
  </si>
  <si>
    <t>Ausências Legais</t>
  </si>
  <si>
    <t>Férias</t>
  </si>
  <si>
    <t>Ausências legais</t>
  </si>
  <si>
    <t>Licença paternidade</t>
  </si>
  <si>
    <t>Ausência por Acidente de trabalho</t>
  </si>
  <si>
    <t xml:space="preserve">Afastamento Maternidade </t>
  </si>
  <si>
    <t>Outros (especificar)</t>
  </si>
  <si>
    <t>SUBMÓDULO 4.2 - INTRAJORNADA</t>
  </si>
  <si>
    <t>4.2</t>
  </si>
  <si>
    <t>Intrajornada</t>
  </si>
  <si>
    <r>
      <t xml:space="preserve">Intervalo para repouso ou alimentação </t>
    </r>
    <r>
      <rPr>
        <b/>
        <sz val="11"/>
        <color rgb="FFFF0000"/>
        <rFont val="Calibri"/>
        <family val="2"/>
        <scheme val="minor"/>
      </rPr>
      <t>(Nota: APLICADO PARA quando o TITULAR do posto USUFRUIR do descanso intrajornada e o posto de trabalho NÃO PUDER FICAR DESCOBERTO)</t>
    </r>
  </si>
  <si>
    <t>QUADRO-RESUMO DO MÓDULO 4 - CUSTO DE REPOSIÇÃO DO PROFISSIONAL AUSENTE</t>
  </si>
  <si>
    <t>Custo de Reposição do Profissional Ausente</t>
  </si>
  <si>
    <t>MÓDULO 4:   TOTAL</t>
  </si>
  <si>
    <t>MÓDULO 5 - INSUMOS DIVERSOS</t>
  </si>
  <si>
    <t>Insumos Diversos</t>
  </si>
  <si>
    <t>Uniformes</t>
  </si>
  <si>
    <r>
      <rPr>
        <b/>
        <sz val="11"/>
        <rFont val="Calibri"/>
        <family val="2"/>
        <scheme val="minor"/>
      </rPr>
      <t>Materiais</t>
    </r>
    <r>
      <rPr>
        <sz val="11"/>
        <rFont val="Calibri"/>
        <family val="2"/>
        <scheme val="minor"/>
      </rPr>
      <t xml:space="preserve"> </t>
    </r>
  </si>
  <si>
    <r>
      <rPr>
        <b/>
        <sz val="11"/>
        <rFont val="Calibri"/>
        <family val="2"/>
        <scheme val="minor"/>
      </rPr>
      <t>Equipamentos</t>
    </r>
    <r>
      <rPr>
        <sz val="11"/>
        <rFont val="Calibri"/>
        <family val="2"/>
        <scheme val="minor"/>
      </rPr>
      <t xml:space="preserve"> </t>
    </r>
  </si>
  <si>
    <t>TOTAL DE INSUMOS DIVERSOS</t>
  </si>
  <si>
    <t>BASE DE CÁLCULO PARA O MÓDULO 6 = MÓDULO 1 + MÓDULO 2 + MÓDULO 3 + MÓDULO 4 + MÓDULO 5</t>
  </si>
  <si>
    <t>MÓDULO 4</t>
  </si>
  <si>
    <t>MÓDULO 5</t>
  </si>
  <si>
    <t xml:space="preserve">MÓDULO 6 – CUSTOS INDIRETOS, TRIBUTOS E LUCRO </t>
  </si>
  <si>
    <t>nota1</t>
  </si>
  <si>
    <t>nota 2</t>
  </si>
  <si>
    <t>Custos Indiretos, Tributos e Lucro</t>
  </si>
  <si>
    <t>Custos Indiretos</t>
  </si>
  <si>
    <t>Lucro (MT + M6.A)</t>
  </si>
  <si>
    <t xml:space="preserve">  FATURAMENTO  (MT + M6A + M6B)</t>
  </si>
  <si>
    <t>CÁLCULO POR DENTRO</t>
  </si>
  <si>
    <t>Tributos</t>
  </si>
  <si>
    <t>C1. Tributos Federais</t>
  </si>
  <si>
    <r>
      <t xml:space="preserve">C1-A  </t>
    </r>
    <r>
      <rPr>
        <b/>
        <sz val="11"/>
        <rFont val="Calibri"/>
        <family val="2"/>
        <scheme val="minor"/>
      </rPr>
      <t xml:space="preserve">(PIS) </t>
    </r>
    <r>
      <rPr>
        <sz val="11"/>
        <rFont val="Calibri"/>
        <family val="2"/>
        <scheme val="minor"/>
      </rPr>
      <t xml:space="preserve">  </t>
    </r>
  </si>
  <si>
    <r>
      <t xml:space="preserve">C1. B  </t>
    </r>
    <r>
      <rPr>
        <b/>
        <sz val="11"/>
        <rFont val="Calibri"/>
        <family val="2"/>
        <scheme val="minor"/>
      </rPr>
      <t>(COFINS)</t>
    </r>
    <r>
      <rPr>
        <sz val="11"/>
        <rFont val="Calibri"/>
        <family val="2"/>
        <scheme val="minor"/>
      </rPr>
      <t xml:space="preserve">  </t>
    </r>
  </si>
  <si>
    <t>C.2 Tributos Estaduais (especificar)</t>
  </si>
  <si>
    <t xml:space="preserve">C.3 Tributos Municipais </t>
  </si>
  <si>
    <r>
      <t xml:space="preserve">C3-A </t>
    </r>
    <r>
      <rPr>
        <b/>
        <sz val="11"/>
        <rFont val="Calibri"/>
        <family val="2"/>
        <scheme val="minor"/>
      </rPr>
      <t xml:space="preserve">(ISS) </t>
    </r>
    <r>
      <rPr>
        <sz val="11"/>
        <rFont val="Calibri"/>
        <family val="2"/>
        <scheme val="minor"/>
      </rPr>
      <t xml:space="preserve"> </t>
    </r>
  </si>
  <si>
    <t>SOMA DOS TRIBUTOS</t>
  </si>
  <si>
    <t>TOTAL DOS CUSTOS INDIRETOS, TRIBUTOS E LUCRO</t>
  </si>
  <si>
    <t>MÓDULO 6:   TOTAL</t>
  </si>
  <si>
    <t xml:space="preserve">QUADRO-RESUMO DO CUSTO POR EMPREGADO </t>
  </si>
  <si>
    <t>Mão-de-obra vinculada à execução contratual (valor por empregado)</t>
  </si>
  <si>
    <t>Módulo 1 – Composição da Remuneração</t>
  </si>
  <si>
    <t xml:space="preserve">Módulo 2 - Encargos e Benefícios Anuais, Mensais e Diários </t>
  </si>
  <si>
    <t xml:space="preserve"> Módulo 3 - Provisão para Rescisão </t>
  </si>
  <si>
    <t xml:space="preserve">Módulo 4 - Custo de Reposição do Profissional Ausente </t>
  </si>
  <si>
    <t xml:space="preserve">Módulo 5 - Insumos Diversos </t>
  </si>
  <si>
    <t>Subtotal (A + B + C + D + E)</t>
  </si>
  <si>
    <t>Módulo 6 – Custos indiretos, tributos e lucro</t>
  </si>
  <si>
    <t>VALOR TOTAL POR EMPREGADO</t>
  </si>
  <si>
    <t>PREGÃO ELETRÔNICO XX/2018</t>
  </si>
  <si>
    <t>XX/XX/2018</t>
  </si>
  <si>
    <t>ALFENAS - MG</t>
  </si>
  <si>
    <t>=TRUNCAR(((2115*0,9)/(12*10))/2;2)</t>
  </si>
  <si>
    <t xml:space="preserve">=TRUNCAR((250/12/2);2) </t>
  </si>
  <si>
    <t>SERVIÇO DE VIGILÂNCIA - 12X36 - NOTURNO</t>
  </si>
  <si>
    <t>VARGINHA - MG</t>
  </si>
  <si>
    <r>
      <t xml:space="preserve">SAT </t>
    </r>
    <r>
      <rPr>
        <sz val="11"/>
        <rFont val="Calibri"/>
        <family val="2"/>
        <scheme val="minor"/>
      </rPr>
      <t>(+ FAP de 0,5 a 2,0) (VARIAÇÃO: 0,5% a 6%)</t>
    </r>
  </si>
  <si>
    <t>POÇOS DE CALDAS - MG</t>
  </si>
  <si>
    <t>VIGILÂNCIA NOTURNA 12X36</t>
  </si>
  <si>
    <t>PLANILHA DE COMPOSIÇÃO DE CUSTOS CONSOLIDADA</t>
  </si>
  <si>
    <t>LOCAL</t>
  </si>
  <si>
    <t>VARGINHA</t>
  </si>
  <si>
    <t>POÇOS DE CALDAS</t>
  </si>
  <si>
    <t>ALFENAS</t>
  </si>
  <si>
    <t>(A) R$ UNIT. MENSAL</t>
  </si>
  <si>
    <t>(C) = (A) X (B)       R$ TOTAL/POSTO</t>
  </si>
  <si>
    <t>(D)    QUANT. TOTAL DE POSTOS</t>
  </si>
  <si>
    <t>(B) QTDE. VIGILANTE/POSTO</t>
  </si>
  <si>
    <t>(E) = (B) X (D) QUANT. DE TERCEIRIZADOS</t>
  </si>
  <si>
    <t>(F) = (D) X (C)        R$ VALOR TOTAL MENSAL/SERVIÇO</t>
  </si>
  <si>
    <t>(G) = (F) X (12 MESES)                     R$ TOTAL SERVIÇO/ ANUAL</t>
  </si>
  <si>
    <t>FATURAMENTO  (MT + M6A + M6B)</t>
  </si>
  <si>
    <t>SERVIÇO DE VIGILÂNCIA - NOTURNO - ESCALA 12X36</t>
  </si>
</sst>
</file>

<file path=xl/styles.xml><?xml version="1.0" encoding="utf-8"?>
<styleSheet xmlns="http://schemas.openxmlformats.org/spreadsheetml/2006/main">
  <numFmts count="4">
    <numFmt numFmtId="44" formatCode="_-&quot;R$&quot;\ * #,##0.00_-;\-&quot;R$&quot;\ * #,##0.00_-;_-&quot;R$&quot;\ * &quot;-&quot;??_-;_-@_-"/>
    <numFmt numFmtId="164" formatCode="0.000%"/>
    <numFmt numFmtId="165" formatCode="0.000"/>
    <numFmt numFmtId="166" formatCode="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Book Antiqua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</cellStyleXfs>
  <cellXfs count="281">
    <xf numFmtId="0" fontId="0" fillId="0" borderId="0" xfId="0"/>
    <xf numFmtId="0" fontId="6" fillId="0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4" fontId="7" fillId="2" borderId="14" xfId="0" quotePrefix="1" applyNumberFormat="1" applyFont="1" applyFill="1" applyBorder="1" applyAlignment="1">
      <alignment vertical="center"/>
    </xf>
    <xf numFmtId="4" fontId="7" fillId="2" borderId="14" xfId="0" quotePrefix="1" applyNumberFormat="1" applyFont="1" applyFill="1" applyBorder="1" applyAlignment="1">
      <alignment horizontal="right" vertical="center"/>
    </xf>
    <xf numFmtId="4" fontId="7" fillId="2" borderId="14" xfId="0" applyNumberFormat="1" applyFont="1" applyFill="1" applyBorder="1" applyAlignment="1">
      <alignment vertical="center"/>
    </xf>
    <xf numFmtId="0" fontId="7" fillId="2" borderId="14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left" vertical="center"/>
    </xf>
    <xf numFmtId="0" fontId="2" fillId="2" borderId="12" xfId="5" applyFont="1" applyFill="1" applyBorder="1" applyAlignment="1">
      <alignment horizontal="center" vertical="center"/>
    </xf>
    <xf numFmtId="164" fontId="7" fillId="2" borderId="14" xfId="2" quotePrefix="1" applyNumberFormat="1" applyFont="1" applyFill="1" applyBorder="1" applyAlignment="1">
      <alignment vertical="center"/>
    </xf>
    <xf numFmtId="164" fontId="7" fillId="2" borderId="14" xfId="5" applyNumberFormat="1" applyFont="1" applyFill="1" applyBorder="1" applyAlignment="1">
      <alignment horizontal="right" vertical="center"/>
    </xf>
    <xf numFmtId="4" fontId="7" fillId="2" borderId="17" xfId="0" applyNumberFormat="1" applyFont="1" applyFill="1" applyBorder="1" applyAlignment="1">
      <alignment vertical="center"/>
    </xf>
    <xf numFmtId="4" fontId="7" fillId="3" borderId="14" xfId="0" applyNumberFormat="1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4" fontId="7" fillId="2" borderId="14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vertical="center"/>
    </xf>
    <xf numFmtId="4" fontId="7" fillId="3" borderId="17" xfId="0" applyNumberFormat="1" applyFont="1" applyFill="1" applyBorder="1" applyAlignment="1">
      <alignment vertical="center"/>
    </xf>
    <xf numFmtId="0" fontId="6" fillId="2" borderId="14" xfId="5" applyFont="1" applyFill="1" applyBorder="1" applyAlignment="1">
      <alignment horizontal="center" vertical="center" wrapText="1"/>
    </xf>
    <xf numFmtId="164" fontId="7" fillId="2" borderId="0" xfId="2" quotePrefix="1" applyNumberFormat="1" applyFont="1" applyFill="1" applyBorder="1" applyAlignment="1">
      <alignment vertical="center"/>
    </xf>
    <xf numFmtId="164" fontId="7" fillId="3" borderId="14" xfId="5" applyNumberFormat="1" applyFont="1" applyFill="1" applyBorder="1" applyAlignment="1">
      <alignment vertical="center" wrapText="1"/>
    </xf>
    <xf numFmtId="4" fontId="7" fillId="3" borderId="10" xfId="0" applyNumberFormat="1" applyFont="1" applyFill="1" applyBorder="1" applyAlignment="1">
      <alignment vertical="center"/>
    </xf>
    <xf numFmtId="164" fontId="7" fillId="3" borderId="14" xfId="2" applyNumberFormat="1" applyFont="1" applyFill="1" applyBorder="1" applyAlignment="1">
      <alignment vertical="center"/>
    </xf>
    <xf numFmtId="0" fontId="12" fillId="3" borderId="11" xfId="5" applyFont="1" applyFill="1" applyBorder="1" applyAlignment="1">
      <alignment horizontal="right" vertical="center" wrapText="1"/>
    </xf>
    <xf numFmtId="0" fontId="7" fillId="3" borderId="12" xfId="5" applyFont="1" applyFill="1" applyBorder="1" applyAlignment="1">
      <alignment horizontal="right" vertical="center" wrapText="1"/>
    </xf>
    <xf numFmtId="0" fontId="7" fillId="3" borderId="13" xfId="5" applyFont="1" applyFill="1" applyBorder="1" applyAlignment="1">
      <alignment horizontal="right" vertical="center" wrapText="1"/>
    </xf>
    <xf numFmtId="0" fontId="2" fillId="2" borderId="14" xfId="5" applyFont="1" applyFill="1" applyBorder="1" applyAlignment="1">
      <alignment horizontal="center" vertical="center" wrapText="1"/>
    </xf>
    <xf numFmtId="0" fontId="7" fillId="2" borderId="14" xfId="5" applyFont="1" applyFill="1" applyBorder="1" applyAlignment="1">
      <alignment horizontal="center" vertical="center" wrapText="1"/>
    </xf>
    <xf numFmtId="4" fontId="7" fillId="2" borderId="14" xfId="5" applyNumberFormat="1" applyFont="1" applyFill="1" applyBorder="1" applyAlignment="1">
      <alignment horizontal="center" vertical="center" wrapText="1"/>
    </xf>
    <xf numFmtId="0" fontId="12" fillId="2" borderId="14" xfId="5" applyFont="1" applyFill="1" applyBorder="1" applyAlignment="1">
      <alignment horizontal="center" vertical="center" wrapText="1"/>
    </xf>
    <xf numFmtId="0" fontId="7" fillId="2" borderId="12" xfId="5" applyFont="1" applyFill="1" applyBorder="1" applyAlignment="1">
      <alignment horizontal="left" vertical="center" wrapText="1"/>
    </xf>
    <xf numFmtId="0" fontId="7" fillId="2" borderId="12" xfId="5" applyFont="1" applyFill="1" applyBorder="1" applyAlignment="1">
      <alignment horizontal="right" vertical="center" wrapText="1"/>
    </xf>
    <xf numFmtId="0" fontId="12" fillId="2" borderId="13" xfId="5" applyFont="1" applyFill="1" applyBorder="1" applyAlignment="1">
      <alignment horizontal="right" vertical="center" wrapText="1"/>
    </xf>
    <xf numFmtId="0" fontId="12" fillId="2" borderId="11" xfId="5" applyFont="1" applyFill="1" applyBorder="1" applyAlignment="1">
      <alignment horizontal="right" vertical="center" wrapText="1"/>
    </xf>
    <xf numFmtId="0" fontId="7" fillId="2" borderId="13" xfId="5" applyFont="1" applyFill="1" applyBorder="1" applyAlignment="1">
      <alignment horizontal="right" vertical="center" wrapText="1"/>
    </xf>
    <xf numFmtId="0" fontId="3" fillId="2" borderId="14" xfId="5" applyFont="1" applyFill="1" applyBorder="1" applyAlignment="1">
      <alignment horizontal="center" vertical="center" wrapText="1"/>
    </xf>
    <xf numFmtId="4" fontId="3" fillId="2" borderId="14" xfId="5" applyNumberFormat="1" applyFont="1" applyFill="1" applyBorder="1" applyAlignment="1">
      <alignment horizontal="center" vertical="center" wrapText="1"/>
    </xf>
    <xf numFmtId="0" fontId="7" fillId="2" borderId="11" xfId="5" applyFont="1" applyFill="1" applyBorder="1" applyAlignment="1">
      <alignment vertical="center"/>
    </xf>
    <xf numFmtId="0" fontId="7" fillId="2" borderId="12" xfId="5" applyFont="1" applyFill="1" applyBorder="1" applyAlignment="1">
      <alignment vertical="center"/>
    </xf>
    <xf numFmtId="0" fontId="7" fillId="2" borderId="14" xfId="5" applyFont="1" applyFill="1" applyBorder="1" applyAlignment="1">
      <alignment vertical="center" wrapText="1"/>
    </xf>
    <xf numFmtId="0" fontId="16" fillId="2" borderId="14" xfId="0" applyFont="1" applyFill="1" applyBorder="1" applyAlignment="1">
      <alignment horizontal="justify" vertical="center"/>
    </xf>
    <xf numFmtId="164" fontId="7" fillId="2" borderId="14" xfId="2" applyNumberFormat="1" applyFont="1" applyFill="1" applyBorder="1" applyAlignment="1">
      <alignment vertical="center"/>
    </xf>
    <xf numFmtId="0" fontId="6" fillId="2" borderId="14" xfId="5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justify" vertical="center"/>
    </xf>
    <xf numFmtId="10" fontId="7" fillId="2" borderId="14" xfId="2" applyNumberFormat="1" applyFont="1" applyFill="1" applyBorder="1" applyAlignment="1">
      <alignment vertical="center"/>
    </xf>
    <xf numFmtId="0" fontId="0" fillId="2" borderId="0" xfId="0" applyFill="1"/>
    <xf numFmtId="164" fontId="6" fillId="2" borderId="10" xfId="2" applyNumberFormat="1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0" fontId="7" fillId="2" borderId="11" xfId="3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right" vertical="center" wrapText="1"/>
    </xf>
    <xf numFmtId="0" fontId="10" fillId="2" borderId="14" xfId="4" applyFont="1" applyFill="1" applyBorder="1" applyAlignment="1">
      <alignment horizontal="center" vertical="center" wrapText="1"/>
    </xf>
    <xf numFmtId="164" fontId="7" fillId="2" borderId="11" xfId="2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/>
    </xf>
    <xf numFmtId="0" fontId="2" fillId="2" borderId="14" xfId="5" applyFont="1" applyFill="1" applyBorder="1" applyAlignment="1">
      <alignment vertical="center" wrapText="1"/>
    </xf>
    <xf numFmtId="0" fontId="6" fillId="2" borderId="21" xfId="5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center" vertical="center"/>
    </xf>
    <xf numFmtId="164" fontId="2" fillId="2" borderId="14" xfId="2" applyNumberFormat="1" applyFont="1" applyFill="1" applyBorder="1" applyAlignment="1">
      <alignment horizontal="justify" vertical="center"/>
    </xf>
    <xf numFmtId="164" fontId="2" fillId="2" borderId="0" xfId="2" applyNumberFormat="1" applyFont="1" applyFill="1" applyBorder="1" applyAlignment="1">
      <alignment vertical="center"/>
    </xf>
    <xf numFmtId="4" fontId="7" fillId="2" borderId="14" xfId="5" applyNumberFormat="1" applyFont="1" applyFill="1" applyBorder="1" applyAlignment="1">
      <alignment vertical="center" wrapText="1"/>
    </xf>
    <xf numFmtId="0" fontId="13" fillId="2" borderId="14" xfId="5" applyFont="1" applyFill="1" applyBorder="1" applyAlignment="1">
      <alignment horizontal="center" vertical="center" wrapText="1"/>
    </xf>
    <xf numFmtId="0" fontId="3" fillId="2" borderId="14" xfId="5" applyFont="1" applyFill="1" applyBorder="1" applyAlignment="1">
      <alignment horizontal="right" vertical="center" wrapText="1"/>
    </xf>
    <xf numFmtId="0" fontId="2" fillId="2" borderId="17" xfId="5" applyFont="1" applyFill="1" applyBorder="1" applyAlignment="1">
      <alignment vertical="center" wrapText="1"/>
    </xf>
    <xf numFmtId="0" fontId="7" fillId="2" borderId="11" xfId="5" applyFont="1" applyFill="1" applyBorder="1" applyAlignment="1">
      <alignment vertical="center" wrapText="1"/>
    </xf>
    <xf numFmtId="4" fontId="7" fillId="2" borderId="13" xfId="0" applyNumberFormat="1" applyFont="1" applyFill="1" applyBorder="1" applyAlignment="1">
      <alignment vertical="center"/>
    </xf>
    <xf numFmtId="0" fontId="7" fillId="2" borderId="17" xfId="5" applyFont="1" applyFill="1" applyBorder="1" applyAlignment="1">
      <alignment vertical="center" wrapText="1"/>
    </xf>
    <xf numFmtId="0" fontId="7" fillId="2" borderId="11" xfId="5" applyFont="1" applyFill="1" applyBorder="1" applyAlignment="1">
      <alignment horizontal="left" vertical="center" wrapText="1"/>
    </xf>
    <xf numFmtId="165" fontId="7" fillId="2" borderId="31" xfId="0" applyNumberFormat="1" applyFont="1" applyFill="1" applyBorder="1" applyAlignment="1">
      <alignment vertical="center"/>
    </xf>
    <xf numFmtId="166" fontId="7" fillId="2" borderId="27" xfId="0" applyNumberFormat="1" applyFont="1" applyFill="1" applyBorder="1" applyAlignment="1">
      <alignment vertical="center"/>
    </xf>
    <xf numFmtId="4" fontId="7" fillId="2" borderId="13" xfId="1" applyNumberFormat="1" applyFont="1" applyFill="1" applyBorder="1" applyAlignment="1">
      <alignment horizontal="right" vertical="center"/>
    </xf>
    <xf numFmtId="0" fontId="7" fillId="2" borderId="20" xfId="5" applyFont="1" applyFill="1" applyBorder="1" applyAlignment="1">
      <alignment vertical="center" wrapText="1"/>
    </xf>
    <xf numFmtId="0" fontId="7" fillId="2" borderId="15" xfId="5" applyFont="1" applyFill="1" applyBorder="1" applyAlignment="1">
      <alignment horizontal="left" vertical="center" wrapText="1"/>
    </xf>
    <xf numFmtId="0" fontId="7" fillId="2" borderId="14" xfId="5" applyFont="1" applyFill="1" applyBorder="1" applyAlignment="1">
      <alignment horizontal="left" vertical="center" wrapText="1"/>
    </xf>
    <xf numFmtId="0" fontId="7" fillId="2" borderId="20" xfId="5" applyFont="1" applyFill="1" applyBorder="1" applyAlignment="1">
      <alignment horizontal="left" vertical="center" wrapText="1"/>
    </xf>
    <xf numFmtId="0" fontId="6" fillId="2" borderId="11" xfId="5" applyFont="1" applyFill="1" applyBorder="1" applyAlignment="1">
      <alignment vertical="center" wrapText="1"/>
    </xf>
    <xf numFmtId="0" fontId="6" fillId="2" borderId="14" xfId="5" applyFont="1" applyFill="1" applyBorder="1" applyAlignment="1">
      <alignment vertical="center"/>
    </xf>
    <xf numFmtId="0" fontId="6" fillId="2" borderId="15" xfId="5" applyFont="1" applyFill="1" applyBorder="1" applyAlignment="1">
      <alignment vertical="center" wrapText="1"/>
    </xf>
    <xf numFmtId="164" fontId="7" fillId="2" borderId="17" xfId="2" applyNumberFormat="1" applyFont="1" applyFill="1" applyBorder="1" applyAlignment="1">
      <alignment vertical="center"/>
    </xf>
    <xf numFmtId="0" fontId="7" fillId="2" borderId="10" xfId="5" applyFont="1" applyFill="1" applyBorder="1" applyAlignment="1">
      <alignment vertical="center" wrapText="1"/>
    </xf>
    <xf numFmtId="164" fontId="7" fillId="2" borderId="14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7" fillId="2" borderId="12" xfId="5" applyFont="1" applyFill="1" applyBorder="1" applyAlignment="1">
      <alignment vertical="center" wrapText="1"/>
    </xf>
    <xf numFmtId="0" fontId="7" fillId="2" borderId="13" xfId="5" applyFont="1" applyFill="1" applyBorder="1" applyAlignment="1">
      <alignment vertical="center" wrapText="1"/>
    </xf>
    <xf numFmtId="0" fontId="7" fillId="2" borderId="17" xfId="5" applyFont="1" applyFill="1" applyBorder="1" applyAlignment="1">
      <alignment horizontal="center" vertical="center" wrapText="1"/>
    </xf>
    <xf numFmtId="0" fontId="1" fillId="2" borderId="0" xfId="0" applyFont="1" applyFill="1"/>
    <xf numFmtId="0" fontId="3" fillId="3" borderId="14" xfId="5" applyFont="1" applyFill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vertical="center"/>
    </xf>
    <xf numFmtId="4" fontId="3" fillId="3" borderId="14" xfId="5" applyNumberFormat="1" applyFont="1" applyFill="1" applyBorder="1" applyAlignment="1">
      <alignment vertical="center" wrapText="1"/>
    </xf>
    <xf numFmtId="0" fontId="13" fillId="2" borderId="17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center" vertical="center" wrapText="1"/>
    </xf>
    <xf numFmtId="164" fontId="7" fillId="2" borderId="10" xfId="2" applyNumberFormat="1" applyFont="1" applyFill="1" applyBorder="1" applyAlignment="1">
      <alignment vertical="center"/>
    </xf>
    <xf numFmtId="0" fontId="7" fillId="2" borderId="10" xfId="5" applyFont="1" applyFill="1" applyBorder="1" applyAlignment="1">
      <alignment horizontal="center" vertical="center"/>
    </xf>
    <xf numFmtId="0" fontId="17" fillId="0" borderId="14" xfId="5" applyFont="1" applyFill="1" applyBorder="1" applyAlignment="1">
      <alignment horizontal="center" vertical="center" wrapText="1"/>
    </xf>
    <xf numFmtId="4" fontId="17" fillId="0" borderId="14" xfId="5" applyNumberFormat="1" applyFont="1" applyFill="1" applyBorder="1" applyAlignment="1">
      <alignment vertical="center" wrapText="1"/>
    </xf>
    <xf numFmtId="4" fontId="17" fillId="3" borderId="14" xfId="5" applyNumberFormat="1" applyFont="1" applyFill="1" applyBorder="1" applyAlignment="1">
      <alignment vertical="center" wrapText="1"/>
    </xf>
    <xf numFmtId="0" fontId="17" fillId="3" borderId="14" xfId="0" applyFont="1" applyFill="1" applyBorder="1" applyAlignment="1">
      <alignment horizontal="right" vertical="center"/>
    </xf>
    <xf numFmtId="0" fontId="3" fillId="3" borderId="14" xfId="5" applyFont="1" applyFill="1" applyBorder="1" applyAlignment="1">
      <alignment horizontal="right" vertical="center" wrapText="1"/>
    </xf>
    <xf numFmtId="4" fontId="7" fillId="3" borderId="30" xfId="0" applyNumberFormat="1" applyFont="1" applyFill="1" applyBorder="1" applyAlignment="1">
      <alignment vertical="center"/>
    </xf>
    <xf numFmtId="4" fontId="17" fillId="2" borderId="14" xfId="5" applyNumberFormat="1" applyFont="1" applyFill="1" applyBorder="1" applyAlignment="1">
      <alignment horizontal="center" vertical="center" wrapText="1"/>
    </xf>
    <xf numFmtId="0" fontId="17" fillId="2" borderId="14" xfId="5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4" fontId="0" fillId="0" borderId="14" xfId="0" applyNumberFormat="1" applyFont="1" applyBorder="1"/>
    <xf numFmtId="4" fontId="3" fillId="3" borderId="14" xfId="0" applyNumberFormat="1" applyFont="1" applyFill="1" applyBorder="1"/>
    <xf numFmtId="0" fontId="0" fillId="0" borderId="14" xfId="0" applyFont="1" applyFill="1" applyBorder="1" applyAlignment="1">
      <alignment horizontal="center"/>
    </xf>
    <xf numFmtId="0" fontId="0" fillId="0" borderId="0" xfId="0" applyFont="1"/>
    <xf numFmtId="0" fontId="0" fillId="0" borderId="14" xfId="0" applyFont="1" applyBorder="1" applyAlignment="1">
      <alignment horizontal="center"/>
    </xf>
    <xf numFmtId="4" fontId="0" fillId="0" borderId="14" xfId="0" applyNumberFormat="1" applyFont="1" applyFill="1" applyBorder="1"/>
    <xf numFmtId="4" fontId="0" fillId="2" borderId="14" xfId="0" applyNumberFormat="1" applyFont="1" applyFill="1" applyBorder="1"/>
    <xf numFmtId="0" fontId="3" fillId="3" borderId="14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/>
    </xf>
    <xf numFmtId="0" fontId="0" fillId="0" borderId="14" xfId="0" applyFont="1" applyBorder="1" applyAlignment="1">
      <alignment horizontal="center" wrapText="1"/>
    </xf>
    <xf numFmtId="0" fontId="6" fillId="0" borderId="14" xfId="5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2" fontId="7" fillId="0" borderId="14" xfId="0" applyNumberFormat="1" applyFont="1" applyFill="1" applyBorder="1" applyAlignment="1">
      <alignment vertical="center"/>
    </xf>
    <xf numFmtId="3" fontId="3" fillId="3" borderId="14" xfId="0" applyNumberFormat="1" applyFont="1" applyFill="1" applyBorder="1" applyAlignment="1">
      <alignment horizontal="center"/>
    </xf>
    <xf numFmtId="0" fontId="7" fillId="2" borderId="11" xfId="5" applyFont="1" applyFill="1" applyBorder="1" applyAlignment="1">
      <alignment horizontal="left" vertical="center" wrapText="1"/>
    </xf>
    <xf numFmtId="0" fontId="7" fillId="2" borderId="12" xfId="5" applyFont="1" applyFill="1" applyBorder="1" applyAlignment="1">
      <alignment horizontal="left" vertical="center" wrapText="1"/>
    </xf>
    <xf numFmtId="0" fontId="7" fillId="2" borderId="13" xfId="5" applyFont="1" applyFill="1" applyBorder="1" applyAlignment="1">
      <alignment horizontal="left" vertical="center" wrapText="1"/>
    </xf>
    <xf numFmtId="0" fontId="7" fillId="2" borderId="11" xfId="5" applyFont="1" applyFill="1" applyBorder="1" applyAlignment="1">
      <alignment horizontal="right" vertical="center" wrapText="1"/>
    </xf>
    <xf numFmtId="0" fontId="7" fillId="2" borderId="12" xfId="5" applyFont="1" applyFill="1" applyBorder="1" applyAlignment="1">
      <alignment horizontal="right" vertical="center" wrapText="1"/>
    </xf>
    <xf numFmtId="0" fontId="7" fillId="2" borderId="13" xfId="5" applyFont="1" applyFill="1" applyBorder="1" applyAlignment="1">
      <alignment horizontal="right" vertical="center" wrapText="1"/>
    </xf>
    <xf numFmtId="0" fontId="7" fillId="2" borderId="15" xfId="5" applyFont="1" applyFill="1" applyBorder="1" applyAlignment="1">
      <alignment horizontal="left" vertical="center" wrapText="1"/>
    </xf>
    <xf numFmtId="0" fontId="7" fillId="2" borderId="23" xfId="5" applyFont="1" applyFill="1" applyBorder="1" applyAlignment="1">
      <alignment horizontal="left" vertical="center" wrapText="1"/>
    </xf>
    <xf numFmtId="0" fontId="7" fillId="2" borderId="16" xfId="5" applyFont="1" applyFill="1" applyBorder="1" applyAlignment="1">
      <alignment horizontal="left" vertical="center" wrapText="1"/>
    </xf>
    <xf numFmtId="0" fontId="17" fillId="3" borderId="25" xfId="5" applyFont="1" applyFill="1" applyBorder="1" applyAlignment="1">
      <alignment horizontal="right" vertical="center" wrapText="1"/>
    </xf>
    <xf numFmtId="0" fontId="17" fillId="3" borderId="28" xfId="5" applyFont="1" applyFill="1" applyBorder="1" applyAlignment="1">
      <alignment horizontal="right" vertical="center" wrapText="1"/>
    </xf>
    <xf numFmtId="0" fontId="17" fillId="3" borderId="29" xfId="5" applyFont="1" applyFill="1" applyBorder="1" applyAlignment="1">
      <alignment horizontal="right" vertical="center" wrapText="1"/>
    </xf>
    <xf numFmtId="164" fontId="7" fillId="0" borderId="11" xfId="2" applyNumberFormat="1" applyFont="1" applyFill="1" applyBorder="1" applyAlignment="1">
      <alignment horizontal="justify" vertical="center"/>
    </xf>
    <xf numFmtId="164" fontId="7" fillId="0" borderId="13" xfId="2" applyNumberFormat="1" applyFont="1" applyFill="1" applyBorder="1" applyAlignment="1">
      <alignment horizontal="justify" vertical="center"/>
    </xf>
    <xf numFmtId="164" fontId="7" fillId="0" borderId="11" xfId="2" quotePrefix="1" applyNumberFormat="1" applyFont="1" applyFill="1" applyBorder="1" applyAlignment="1">
      <alignment horizontal="justify" vertical="center"/>
    </xf>
    <xf numFmtId="0" fontId="7" fillId="3" borderId="21" xfId="5" applyFont="1" applyFill="1" applyBorder="1" applyAlignment="1">
      <alignment horizontal="right" vertical="center" wrapText="1"/>
    </xf>
    <xf numFmtId="0" fontId="7" fillId="3" borderId="24" xfId="5" applyFont="1" applyFill="1" applyBorder="1" applyAlignment="1">
      <alignment horizontal="right" vertical="center" wrapText="1"/>
    </xf>
    <xf numFmtId="0" fontId="7" fillId="3" borderId="22" xfId="5" applyFont="1" applyFill="1" applyBorder="1" applyAlignment="1">
      <alignment horizontal="right" vertical="center" wrapText="1"/>
    </xf>
    <xf numFmtId="0" fontId="7" fillId="3" borderId="11" xfId="5" applyFont="1" applyFill="1" applyBorder="1" applyAlignment="1">
      <alignment horizontal="right" vertical="center" wrapText="1"/>
    </xf>
    <xf numFmtId="0" fontId="7" fillId="3" borderId="12" xfId="5" applyFont="1" applyFill="1" applyBorder="1" applyAlignment="1">
      <alignment horizontal="right" vertical="center" wrapText="1"/>
    </xf>
    <xf numFmtId="0" fontId="7" fillId="3" borderId="13" xfId="5" applyFont="1" applyFill="1" applyBorder="1" applyAlignment="1">
      <alignment horizontal="right" vertical="center" wrapText="1"/>
    </xf>
    <xf numFmtId="0" fontId="17" fillId="2" borderId="11" xfId="5" applyFont="1" applyFill="1" applyBorder="1" applyAlignment="1">
      <alignment horizontal="center" vertical="center" wrapText="1"/>
    </xf>
    <xf numFmtId="0" fontId="17" fillId="2" borderId="12" xfId="5" applyFont="1" applyFill="1" applyBorder="1" applyAlignment="1">
      <alignment horizontal="center" vertical="center" wrapText="1"/>
    </xf>
    <xf numFmtId="0" fontId="17" fillId="2" borderId="13" xfId="5" applyFont="1" applyFill="1" applyBorder="1" applyAlignment="1">
      <alignment horizontal="center" vertical="center" wrapText="1"/>
    </xf>
    <xf numFmtId="0" fontId="17" fillId="0" borderId="14" xfId="5" applyFont="1" applyFill="1" applyBorder="1" applyAlignment="1">
      <alignment horizontal="center" vertical="center" wrapText="1"/>
    </xf>
    <xf numFmtId="0" fontId="2" fillId="2" borderId="21" xfId="5" applyFont="1" applyFill="1" applyBorder="1" applyAlignment="1">
      <alignment horizontal="center" vertical="center"/>
    </xf>
    <xf numFmtId="0" fontId="2" fillId="2" borderId="24" xfId="5" applyFont="1" applyFill="1" applyBorder="1" applyAlignment="1">
      <alignment horizontal="center" vertical="center"/>
    </xf>
    <xf numFmtId="0" fontId="2" fillId="2" borderId="22" xfId="5" applyFont="1" applyFill="1" applyBorder="1" applyAlignment="1">
      <alignment horizontal="center" vertical="center"/>
    </xf>
    <xf numFmtId="0" fontId="7" fillId="2" borderId="11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7" fillId="3" borderId="15" xfId="5" applyFont="1" applyFill="1" applyBorder="1" applyAlignment="1">
      <alignment horizontal="right" vertical="center" wrapText="1"/>
    </xf>
    <xf numFmtId="0" fontId="17" fillId="3" borderId="23" xfId="5" applyFont="1" applyFill="1" applyBorder="1" applyAlignment="1">
      <alignment horizontal="right" vertical="center" wrapText="1"/>
    </xf>
    <xf numFmtId="0" fontId="17" fillId="3" borderId="16" xfId="5" applyFont="1" applyFill="1" applyBorder="1" applyAlignment="1">
      <alignment horizontal="right" vertical="center" wrapText="1"/>
    </xf>
    <xf numFmtId="0" fontId="7" fillId="2" borderId="11" xfId="5" applyFont="1" applyFill="1" applyBorder="1" applyAlignment="1">
      <alignment horizontal="justify" vertical="center" wrapText="1"/>
    </xf>
    <xf numFmtId="0" fontId="7" fillId="2" borderId="13" xfId="5" applyFont="1" applyFill="1" applyBorder="1" applyAlignment="1">
      <alignment horizontal="justify" vertical="center" wrapText="1"/>
    </xf>
    <xf numFmtId="0" fontId="7" fillId="2" borderId="11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center" vertical="center"/>
    </xf>
    <xf numFmtId="0" fontId="7" fillId="2" borderId="13" xfId="5" applyFont="1" applyFill="1" applyBorder="1" applyAlignment="1">
      <alignment horizontal="center" vertical="center"/>
    </xf>
    <xf numFmtId="0" fontId="7" fillId="2" borderId="12" xfId="5" applyFont="1" applyFill="1" applyBorder="1" applyAlignment="1">
      <alignment horizontal="center" vertical="center" wrapText="1"/>
    </xf>
    <xf numFmtId="0" fontId="17" fillId="3" borderId="11" xfId="5" applyFont="1" applyFill="1" applyBorder="1" applyAlignment="1">
      <alignment horizontal="right" vertical="center" wrapText="1"/>
    </xf>
    <xf numFmtId="0" fontId="17" fillId="3" borderId="12" xfId="5" applyFont="1" applyFill="1" applyBorder="1" applyAlignment="1">
      <alignment horizontal="right" vertical="center" wrapText="1"/>
    </xf>
    <xf numFmtId="0" fontId="17" fillId="3" borderId="13" xfId="5" applyFont="1" applyFill="1" applyBorder="1" applyAlignment="1">
      <alignment horizontal="right" vertical="center" wrapText="1"/>
    </xf>
    <xf numFmtId="0" fontId="2" fillId="2" borderId="11" xfId="5" applyFont="1" applyFill="1" applyBorder="1" applyAlignment="1">
      <alignment horizontal="center" vertical="center"/>
    </xf>
    <xf numFmtId="0" fontId="2" fillId="2" borderId="12" xfId="5" applyFont="1" applyFill="1" applyBorder="1" applyAlignment="1">
      <alignment horizontal="center" vertical="center"/>
    </xf>
    <xf numFmtId="0" fontId="2" fillId="2" borderId="13" xfId="5" applyFont="1" applyFill="1" applyBorder="1" applyAlignment="1">
      <alignment horizontal="center" vertical="center"/>
    </xf>
    <xf numFmtId="0" fontId="15" fillId="3" borderId="15" xfId="5" applyFont="1" applyFill="1" applyBorder="1" applyAlignment="1">
      <alignment horizontal="right" vertical="center" wrapText="1"/>
    </xf>
    <xf numFmtId="0" fontId="15" fillId="3" borderId="23" xfId="5" applyFont="1" applyFill="1" applyBorder="1" applyAlignment="1">
      <alignment horizontal="right" vertical="center" wrapText="1"/>
    </xf>
    <xf numFmtId="0" fontId="15" fillId="3" borderId="16" xfId="5" applyFont="1" applyFill="1" applyBorder="1" applyAlignment="1">
      <alignment horizontal="right" vertical="center" wrapText="1"/>
    </xf>
    <xf numFmtId="0" fontId="7" fillId="2" borderId="11" xfId="5" applyFont="1" applyFill="1" applyBorder="1" applyAlignment="1">
      <alignment horizontal="left" vertical="center"/>
    </xf>
    <xf numFmtId="0" fontId="7" fillId="2" borderId="12" xfId="5" applyFont="1" applyFill="1" applyBorder="1" applyAlignment="1">
      <alignment horizontal="left" vertical="center"/>
    </xf>
    <xf numFmtId="0" fontId="7" fillId="2" borderId="13" xfId="5" applyFont="1" applyFill="1" applyBorder="1" applyAlignment="1">
      <alignment horizontal="left" vertical="center"/>
    </xf>
    <xf numFmtId="0" fontId="6" fillId="2" borderId="11" xfId="5" applyFont="1" applyFill="1" applyBorder="1" applyAlignment="1">
      <alignment horizontal="left" vertical="center" wrapText="1"/>
    </xf>
    <xf numFmtId="0" fontId="6" fillId="2" borderId="13" xfId="5" applyFont="1" applyFill="1" applyBorder="1" applyAlignment="1">
      <alignment horizontal="left" vertical="center" wrapText="1"/>
    </xf>
    <xf numFmtId="0" fontId="0" fillId="0" borderId="0" xfId="0"/>
    <xf numFmtId="0" fontId="17" fillId="0" borderId="14" xfId="5" applyFont="1" applyFill="1" applyBorder="1" applyAlignment="1">
      <alignment horizontal="left" vertical="center" wrapText="1"/>
    </xf>
    <xf numFmtId="0" fontId="6" fillId="2" borderId="21" xfId="5" applyFont="1" applyFill="1" applyBorder="1" applyAlignment="1">
      <alignment horizontal="left" vertical="center" wrapText="1"/>
    </xf>
    <xf numFmtId="0" fontId="6" fillId="2" borderId="22" xfId="5" applyFont="1" applyFill="1" applyBorder="1" applyAlignment="1">
      <alignment horizontal="left" vertical="center" wrapText="1"/>
    </xf>
    <xf numFmtId="0" fontId="7" fillId="3" borderId="11" xfId="5" applyFont="1" applyFill="1" applyBorder="1" applyAlignment="1">
      <alignment horizontal="right" vertical="center"/>
    </xf>
    <xf numFmtId="0" fontId="7" fillId="3" borderId="12" xfId="5" applyFont="1" applyFill="1" applyBorder="1" applyAlignment="1">
      <alignment horizontal="right" vertical="center"/>
    </xf>
    <xf numFmtId="0" fontId="7" fillId="3" borderId="13" xfId="5" applyFont="1" applyFill="1" applyBorder="1" applyAlignment="1">
      <alignment horizontal="right" vertical="center"/>
    </xf>
    <xf numFmtId="0" fontId="2" fillId="2" borderId="14" xfId="5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left" vertical="center" wrapText="1"/>
    </xf>
    <xf numFmtId="0" fontId="7" fillId="0" borderId="13" xfId="5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24" xfId="5" applyFont="1" applyFill="1" applyBorder="1" applyAlignment="1">
      <alignment horizontal="justify" vertical="center"/>
    </xf>
    <xf numFmtId="0" fontId="7" fillId="2" borderId="22" xfId="5" applyFont="1" applyFill="1" applyBorder="1" applyAlignment="1">
      <alignment horizontal="justify" vertical="center"/>
    </xf>
    <xf numFmtId="0" fontId="7" fillId="2" borderId="11" xfId="5" applyFont="1" applyFill="1" applyBorder="1" applyAlignment="1">
      <alignment horizontal="right" vertical="center"/>
    </xf>
    <xf numFmtId="0" fontId="7" fillId="2" borderId="12" xfId="5" applyFont="1" applyFill="1" applyBorder="1" applyAlignment="1">
      <alignment horizontal="right" vertical="center"/>
    </xf>
    <xf numFmtId="0" fontId="7" fillId="2" borderId="13" xfId="5" applyFont="1" applyFill="1" applyBorder="1" applyAlignment="1">
      <alignment horizontal="right" vertical="center"/>
    </xf>
    <xf numFmtId="0" fontId="17" fillId="2" borderId="14" xfId="5" applyFont="1" applyFill="1" applyBorder="1" applyAlignment="1">
      <alignment horizontal="right" vertical="center" wrapText="1"/>
    </xf>
    <xf numFmtId="0" fontId="17" fillId="0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164" fontId="7" fillId="2" borderId="11" xfId="2" applyNumberFormat="1" applyFont="1" applyFill="1" applyBorder="1" applyAlignment="1">
      <alignment horizontal="justify" vertical="center"/>
    </xf>
    <xf numFmtId="164" fontId="7" fillId="2" borderId="13" xfId="2" applyNumberFormat="1" applyFont="1" applyFill="1" applyBorder="1" applyAlignment="1">
      <alignment horizontal="justify" vertical="center"/>
    </xf>
    <xf numFmtId="164" fontId="7" fillId="2" borderId="11" xfId="2" applyNumberFormat="1" applyFont="1" applyFill="1" applyBorder="1" applyAlignment="1">
      <alignment horizontal="right" vertical="center"/>
    </xf>
    <xf numFmtId="164" fontId="7" fillId="2" borderId="12" xfId="2" applyNumberFormat="1" applyFont="1" applyFill="1" applyBorder="1" applyAlignment="1">
      <alignment horizontal="right" vertical="center"/>
    </xf>
    <xf numFmtId="164" fontId="7" fillId="2" borderId="13" xfId="2" applyNumberFormat="1" applyFont="1" applyFill="1" applyBorder="1" applyAlignment="1">
      <alignment horizontal="right" vertical="center"/>
    </xf>
    <xf numFmtId="0" fontId="6" fillId="2" borderId="14" xfId="4" applyFont="1" applyFill="1" applyBorder="1" applyAlignment="1">
      <alignment horizontal="left" vertical="center" wrapText="1"/>
    </xf>
    <xf numFmtId="4" fontId="7" fillId="2" borderId="14" xfId="4" applyNumberFormat="1" applyFont="1" applyFill="1" applyBorder="1" applyAlignment="1">
      <alignment horizontal="right" vertical="center" wrapText="1"/>
    </xf>
    <xf numFmtId="0" fontId="6" fillId="2" borderId="14" xfId="4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/>
    </xf>
    <xf numFmtId="15" fontId="6" fillId="2" borderId="14" xfId="0" applyNumberFormat="1" applyFont="1" applyFill="1" applyBorder="1" applyAlignment="1">
      <alignment horizontal="center" vertical="center"/>
    </xf>
    <xf numFmtId="0" fontId="11" fillId="2" borderId="15" xfId="3" applyFont="1" applyFill="1" applyBorder="1" applyAlignment="1">
      <alignment horizontal="center" vertical="center"/>
    </xf>
    <xf numFmtId="0" fontId="11" fillId="2" borderId="23" xfId="3" applyFont="1" applyFill="1" applyBorder="1" applyAlignment="1">
      <alignment horizontal="center" vertical="center"/>
    </xf>
    <xf numFmtId="0" fontId="11" fillId="2" borderId="16" xfId="3" applyFont="1" applyFill="1" applyBorder="1" applyAlignment="1">
      <alignment horizontal="center" vertical="center"/>
    </xf>
    <xf numFmtId="0" fontId="2" fillId="2" borderId="21" xfId="3" applyFont="1" applyFill="1" applyBorder="1" applyAlignment="1">
      <alignment horizontal="center" vertical="center"/>
    </xf>
    <xf numFmtId="0" fontId="2" fillId="2" borderId="24" xfId="3" applyFont="1" applyFill="1" applyBorder="1" applyAlignment="1">
      <alignment horizontal="center" vertical="center"/>
    </xf>
    <xf numFmtId="0" fontId="2" fillId="2" borderId="22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2" fillId="2" borderId="12" xfId="3" applyFont="1" applyFill="1" applyBorder="1" applyAlignment="1">
      <alignment horizontal="center" vertical="center"/>
    </xf>
    <xf numFmtId="0" fontId="2" fillId="2" borderId="13" xfId="3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 wrapText="1"/>
    </xf>
    <xf numFmtId="0" fontId="9" fillId="2" borderId="13" xfId="4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justify" vertical="center"/>
    </xf>
    <xf numFmtId="0" fontId="6" fillId="2" borderId="16" xfId="0" applyFont="1" applyFill="1" applyBorder="1" applyAlignment="1">
      <alignment horizontal="justify" vertical="center"/>
    </xf>
    <xf numFmtId="0" fontId="6" fillId="2" borderId="18" xfId="0" applyFont="1" applyFill="1" applyBorder="1" applyAlignment="1">
      <alignment horizontal="justify" vertical="center"/>
    </xf>
    <xf numFmtId="0" fontId="6" fillId="2" borderId="19" xfId="0" applyFont="1" applyFill="1" applyBorder="1" applyAlignment="1">
      <alignment horizontal="justify" vertical="center"/>
    </xf>
    <xf numFmtId="0" fontId="6" fillId="2" borderId="21" xfId="0" applyFont="1" applyFill="1" applyBorder="1" applyAlignment="1">
      <alignment horizontal="justify" vertical="center"/>
    </xf>
    <xf numFmtId="0" fontId="6" fillId="2" borderId="22" xfId="0" applyFont="1" applyFill="1" applyBorder="1" applyAlignment="1">
      <alignment horizontal="justify" vertical="center"/>
    </xf>
    <xf numFmtId="0" fontId="6" fillId="2" borderId="17" xfId="4" applyFont="1" applyFill="1" applyBorder="1" applyAlignment="1">
      <alignment horizontal="center" vertical="center" wrapText="1"/>
    </xf>
    <xf numFmtId="0" fontId="6" fillId="2" borderId="20" xfId="4" applyFont="1" applyFill="1" applyBorder="1" applyAlignment="1">
      <alignment horizontal="center" vertical="center" wrapText="1"/>
    </xf>
    <xf numFmtId="0" fontId="6" fillId="2" borderId="10" xfId="4" applyFont="1" applyFill="1" applyBorder="1" applyAlignment="1">
      <alignment horizontal="center" vertical="center" wrapText="1"/>
    </xf>
    <xf numFmtId="0" fontId="6" fillId="2" borderId="15" xfId="4" applyFont="1" applyFill="1" applyBorder="1" applyAlignment="1">
      <alignment horizontal="center" vertical="center" wrapText="1"/>
    </xf>
    <xf numFmtId="0" fontId="6" fillId="2" borderId="16" xfId="4" applyFont="1" applyFill="1" applyBorder="1" applyAlignment="1">
      <alignment horizontal="center" vertical="center" wrapText="1"/>
    </xf>
    <xf numFmtId="0" fontId="6" fillId="2" borderId="18" xfId="4" applyFont="1" applyFill="1" applyBorder="1" applyAlignment="1">
      <alignment horizontal="center" vertical="center" wrapText="1"/>
    </xf>
    <xf numFmtId="0" fontId="6" fillId="2" borderId="19" xfId="4" applyFont="1" applyFill="1" applyBorder="1" applyAlignment="1">
      <alignment horizontal="center" vertical="center" wrapText="1"/>
    </xf>
    <xf numFmtId="0" fontId="6" fillId="2" borderId="21" xfId="4" applyFont="1" applyFill="1" applyBorder="1" applyAlignment="1">
      <alignment horizontal="center" vertical="center" wrapText="1"/>
    </xf>
    <xf numFmtId="0" fontId="6" fillId="2" borderId="22" xfId="4" applyFont="1" applyFill="1" applyBorder="1" applyAlignment="1">
      <alignment horizontal="center" vertical="center" wrapText="1"/>
    </xf>
    <xf numFmtId="0" fontId="2" fillId="2" borderId="12" xfId="3" applyFont="1" applyFill="1" applyBorder="1" applyAlignment="1">
      <alignment horizontal="right" vertical="center" wrapText="1"/>
    </xf>
    <xf numFmtId="0" fontId="2" fillId="2" borderId="13" xfId="3" applyFont="1" applyFill="1" applyBorder="1" applyAlignment="1">
      <alignment horizontal="right" vertical="center" wrapText="1"/>
    </xf>
    <xf numFmtId="17" fontId="6" fillId="2" borderId="11" xfId="0" quotePrefix="1" applyNumberFormat="1" applyFont="1" applyFill="1" applyBorder="1" applyAlignment="1">
      <alignment horizontal="center" vertical="center"/>
    </xf>
    <xf numFmtId="17" fontId="6" fillId="2" borderId="12" xfId="0" applyNumberFormat="1" applyFont="1" applyFill="1" applyBorder="1" applyAlignment="1">
      <alignment horizontal="center" vertical="center"/>
    </xf>
    <xf numFmtId="17" fontId="6" fillId="2" borderId="13" xfId="0" applyNumberFormat="1" applyFont="1" applyFill="1" applyBorder="1" applyAlignment="1">
      <alignment horizontal="center" vertical="center"/>
    </xf>
    <xf numFmtId="0" fontId="6" fillId="2" borderId="11" xfId="3" applyFont="1" applyFill="1" applyBorder="1" applyAlignment="1">
      <alignment horizontal="center" vertical="center" wrapText="1"/>
    </xf>
    <xf numFmtId="0" fontId="6" fillId="2" borderId="12" xfId="3" applyFont="1" applyFill="1" applyBorder="1" applyAlignment="1">
      <alignment horizontal="center" vertical="center" wrapText="1"/>
    </xf>
    <xf numFmtId="0" fontId="6" fillId="2" borderId="13" xfId="3" applyFont="1" applyFill="1" applyBorder="1" applyAlignment="1">
      <alignment horizontal="center" vertical="center" wrapText="1"/>
    </xf>
    <xf numFmtId="0" fontId="19" fillId="2" borderId="1" xfId="3" applyFont="1" applyFill="1" applyBorder="1" applyAlignment="1">
      <alignment horizontal="center" vertical="center" wrapText="1"/>
    </xf>
    <xf numFmtId="0" fontId="19" fillId="2" borderId="2" xfId="3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right" vertical="center" wrapText="1"/>
    </xf>
    <xf numFmtId="0" fontId="7" fillId="2" borderId="12" xfId="3" applyFont="1" applyFill="1" applyBorder="1" applyAlignment="1">
      <alignment horizontal="right" vertical="center" wrapText="1"/>
    </xf>
    <xf numFmtId="0" fontId="7" fillId="2" borderId="13" xfId="3" applyFont="1" applyFill="1" applyBorder="1" applyAlignment="1">
      <alignment horizontal="right" vertical="center" wrapText="1"/>
    </xf>
    <xf numFmtId="0" fontId="6" fillId="2" borderId="11" xfId="3" quotePrefix="1" applyFont="1" applyFill="1" applyBorder="1" applyAlignment="1">
      <alignment horizontal="center" vertical="center" wrapText="1"/>
    </xf>
    <xf numFmtId="0" fontId="6" fillId="2" borderId="13" xfId="3" quotePrefix="1" applyFont="1" applyFill="1" applyBorder="1" applyAlignment="1">
      <alignment horizontal="center" vertical="center" wrapText="1"/>
    </xf>
    <xf numFmtId="17" fontId="6" fillId="2" borderId="11" xfId="3" quotePrefix="1" applyNumberFormat="1" applyFont="1" applyFill="1" applyBorder="1" applyAlignment="1">
      <alignment horizontal="center" vertical="center" wrapText="1"/>
    </xf>
    <xf numFmtId="17" fontId="6" fillId="2" borderId="13" xfId="3" quotePrefix="1" applyNumberFormat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7" fillId="0" borderId="11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10" fontId="7" fillId="0" borderId="14" xfId="2" applyNumberFormat="1" applyFont="1" applyFill="1" applyBorder="1" applyAlignment="1">
      <alignment vertical="center"/>
    </xf>
    <xf numFmtId="4" fontId="7" fillId="0" borderId="14" xfId="0" applyNumberFormat="1" applyFont="1" applyFill="1" applyBorder="1" applyAlignment="1">
      <alignment vertical="center"/>
    </xf>
    <xf numFmtId="4" fontId="2" fillId="0" borderId="14" xfId="0" applyNumberFormat="1" applyFont="1" applyFill="1" applyBorder="1" applyAlignment="1">
      <alignment vertical="center"/>
    </xf>
    <xf numFmtId="0" fontId="7" fillId="0" borderId="14" xfId="5" applyFont="1" applyFill="1" applyBorder="1" applyAlignment="1">
      <alignment vertical="center" wrapText="1"/>
    </xf>
    <xf numFmtId="0" fontId="6" fillId="0" borderId="11" xfId="0" quotePrefix="1" applyFont="1" applyFill="1" applyBorder="1" applyAlignment="1">
      <alignment horizontal="center" vertical="center"/>
    </xf>
    <xf numFmtId="0" fontId="6" fillId="0" borderId="13" xfId="0" quotePrefix="1" applyFont="1" applyFill="1" applyBorder="1" applyAlignment="1">
      <alignment horizontal="center" vertical="center"/>
    </xf>
    <xf numFmtId="0" fontId="6" fillId="0" borderId="14" xfId="5" applyFont="1" applyFill="1" applyBorder="1" applyAlignment="1">
      <alignment vertical="center" wrapText="1"/>
    </xf>
    <xf numFmtId="0" fontId="6" fillId="0" borderId="11" xfId="0" quotePrefix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4" fontId="7" fillId="0" borderId="14" xfId="0" quotePrefix="1" applyNumberFormat="1" applyFont="1" applyFill="1" applyBorder="1" applyAlignment="1">
      <alignment vertical="center"/>
    </xf>
    <xf numFmtId="0" fontId="6" fillId="0" borderId="10" xfId="5" applyFont="1" applyFill="1" applyBorder="1" applyAlignment="1">
      <alignment vertical="center" wrapText="1"/>
    </xf>
    <xf numFmtId="0" fontId="7" fillId="0" borderId="14" xfId="5" applyFont="1" applyFill="1" applyBorder="1" applyAlignment="1">
      <alignment horizontal="center" vertical="center" wrapText="1"/>
    </xf>
    <xf numFmtId="164" fontId="7" fillId="0" borderId="11" xfId="2" applyNumberFormat="1" applyFont="1" applyFill="1" applyBorder="1" applyAlignment="1">
      <alignment horizontal="right" vertical="center"/>
    </xf>
    <xf numFmtId="164" fontId="7" fillId="0" borderId="13" xfId="2" applyNumberFormat="1" applyFont="1" applyFill="1" applyBorder="1" applyAlignment="1">
      <alignment horizontal="right" vertical="center"/>
    </xf>
    <xf numFmtId="164" fontId="7" fillId="0" borderId="15" xfId="2" applyNumberFormat="1" applyFont="1" applyFill="1" applyBorder="1" applyAlignment="1">
      <alignment horizontal="right" vertical="center"/>
    </xf>
    <xf numFmtId="164" fontId="7" fillId="0" borderId="16" xfId="2" applyNumberFormat="1" applyFont="1" applyFill="1" applyBorder="1" applyAlignment="1">
      <alignment horizontal="right" vertical="center"/>
    </xf>
    <xf numFmtId="0" fontId="7" fillId="0" borderId="14" xfId="0" applyFont="1" applyFill="1" applyBorder="1" applyAlignment="1">
      <alignment vertical="center"/>
    </xf>
  </cellXfs>
  <cellStyles count="6">
    <cellStyle name="Moeda" xfId="1" builtinId="4"/>
    <cellStyle name="Normal" xfId="0" builtinId="0"/>
    <cellStyle name="Normal 2" xfId="5"/>
    <cellStyle name="Normal 4" xfId="3"/>
    <cellStyle name="Normal 5" xfId="4"/>
    <cellStyle name="Porcentagem" xfId="2" builtinId="5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9"/>
  <sheetViews>
    <sheetView topLeftCell="A16" workbookViewId="0">
      <selection activeCell="H21" sqref="H21"/>
    </sheetView>
  </sheetViews>
  <sheetFormatPr defaultColWidth="8.85546875" defaultRowHeight="15"/>
  <cols>
    <col min="1" max="1" width="4.7109375" style="44" customWidth="1"/>
    <col min="2" max="5" width="22.7109375" style="44" customWidth="1"/>
    <col min="6" max="16384" width="8.85546875" style="44"/>
  </cols>
  <sheetData>
    <row r="1" spans="1:5">
      <c r="A1" s="242" t="s">
        <v>0</v>
      </c>
      <c r="B1" s="243"/>
      <c r="C1" s="243"/>
      <c r="D1" s="243"/>
      <c r="E1" s="244"/>
    </row>
    <row r="2" spans="1:5" ht="15.75" thickBot="1">
      <c r="A2" s="245"/>
      <c r="B2" s="246"/>
      <c r="C2" s="246"/>
      <c r="D2" s="246"/>
      <c r="E2" s="247"/>
    </row>
    <row r="3" spans="1:5">
      <c r="A3" s="248"/>
      <c r="B3" s="249"/>
      <c r="C3" s="250"/>
      <c r="D3" s="45" t="s">
        <v>1</v>
      </c>
      <c r="E3" s="46" t="s">
        <v>2</v>
      </c>
    </row>
    <row r="4" spans="1:5">
      <c r="A4" s="251" t="s">
        <v>3</v>
      </c>
      <c r="B4" s="252"/>
      <c r="C4" s="253"/>
      <c r="D4" s="254"/>
      <c r="E4" s="255"/>
    </row>
    <row r="5" spans="1:5">
      <c r="A5" s="251" t="s">
        <v>4</v>
      </c>
      <c r="B5" s="252"/>
      <c r="C5" s="253"/>
      <c r="D5" s="256" t="s">
        <v>146</v>
      </c>
      <c r="E5" s="257"/>
    </row>
    <row r="6" spans="1:5">
      <c r="A6" s="47"/>
      <c r="B6" s="234" t="s">
        <v>5</v>
      </c>
      <c r="C6" s="234"/>
      <c r="D6" s="234"/>
      <c r="E6" s="235"/>
    </row>
    <row r="7" spans="1:5">
      <c r="A7" s="212" t="s">
        <v>6</v>
      </c>
      <c r="B7" s="213"/>
      <c r="C7" s="213"/>
      <c r="D7" s="213"/>
      <c r="E7" s="214"/>
    </row>
    <row r="8" spans="1:5" ht="45">
      <c r="A8" s="48" t="s">
        <v>7</v>
      </c>
      <c r="B8" s="49" t="s">
        <v>8</v>
      </c>
      <c r="C8" s="236" t="s">
        <v>147</v>
      </c>
      <c r="D8" s="237"/>
      <c r="E8" s="238"/>
    </row>
    <row r="9" spans="1:5">
      <c r="A9" s="48" t="s">
        <v>9</v>
      </c>
      <c r="B9" s="49" t="s">
        <v>10</v>
      </c>
      <c r="C9" s="239" t="s">
        <v>148</v>
      </c>
      <c r="D9" s="240"/>
      <c r="E9" s="241"/>
    </row>
    <row r="10" spans="1:5" ht="30">
      <c r="A10" s="48" t="s">
        <v>11</v>
      </c>
      <c r="B10" s="49" t="s">
        <v>12</v>
      </c>
      <c r="C10" s="239" t="s">
        <v>13</v>
      </c>
      <c r="D10" s="240"/>
      <c r="E10" s="241"/>
    </row>
    <row r="11" spans="1:5" ht="30">
      <c r="A11" s="48" t="s">
        <v>14</v>
      </c>
      <c r="B11" s="49" t="s">
        <v>15</v>
      </c>
      <c r="C11" s="239" t="s">
        <v>16</v>
      </c>
      <c r="D11" s="240"/>
      <c r="E11" s="241"/>
    </row>
    <row r="12" spans="1:5">
      <c r="A12" s="212" t="s">
        <v>17</v>
      </c>
      <c r="B12" s="213"/>
      <c r="C12" s="213"/>
      <c r="D12" s="213"/>
      <c r="E12" s="214"/>
    </row>
    <row r="13" spans="1:5">
      <c r="A13" s="215" t="s">
        <v>18</v>
      </c>
      <c r="B13" s="216"/>
      <c r="C13" s="50" t="s">
        <v>19</v>
      </c>
      <c r="D13" s="217" t="s">
        <v>20</v>
      </c>
      <c r="E13" s="218"/>
    </row>
    <row r="14" spans="1:5">
      <c r="A14" s="219" t="s">
        <v>151</v>
      </c>
      <c r="B14" s="220"/>
      <c r="C14" s="225" t="s">
        <v>21</v>
      </c>
      <c r="D14" s="228" t="s">
        <v>22</v>
      </c>
      <c r="E14" s="229"/>
    </row>
    <row r="15" spans="1:5">
      <c r="A15" s="221"/>
      <c r="B15" s="222"/>
      <c r="C15" s="226"/>
      <c r="D15" s="230"/>
      <c r="E15" s="231"/>
    </row>
    <row r="16" spans="1:5">
      <c r="A16" s="223"/>
      <c r="B16" s="224"/>
      <c r="C16" s="227"/>
      <c r="D16" s="232"/>
      <c r="E16" s="233"/>
    </row>
    <row r="17" spans="1:5" ht="15.75">
      <c r="A17" s="206" t="s">
        <v>23</v>
      </c>
      <c r="B17" s="207"/>
      <c r="C17" s="207"/>
      <c r="D17" s="207"/>
      <c r="E17" s="208"/>
    </row>
    <row r="18" spans="1:5">
      <c r="A18" s="209" t="s">
        <v>24</v>
      </c>
      <c r="B18" s="210"/>
      <c r="C18" s="210"/>
      <c r="D18" s="210"/>
      <c r="E18" s="211"/>
    </row>
    <row r="19" spans="1:5">
      <c r="A19" s="137" t="s">
        <v>25</v>
      </c>
      <c r="B19" s="138"/>
      <c r="C19" s="138"/>
      <c r="D19" s="139"/>
      <c r="E19" s="98" t="s">
        <v>26</v>
      </c>
    </row>
    <row r="20" spans="1:5">
      <c r="A20" s="48">
        <v>1</v>
      </c>
      <c r="B20" s="201" t="s">
        <v>27</v>
      </c>
      <c r="C20" s="201"/>
      <c r="D20" s="203" t="s">
        <v>169</v>
      </c>
      <c r="E20" s="203"/>
    </row>
    <row r="21" spans="1:5">
      <c r="A21" s="48">
        <v>2</v>
      </c>
      <c r="B21" s="201" t="s">
        <v>28</v>
      </c>
      <c r="C21" s="201"/>
      <c r="D21" s="203" t="s">
        <v>29</v>
      </c>
      <c r="E21" s="203"/>
    </row>
    <row r="22" spans="1:5">
      <c r="A22" s="48">
        <v>3</v>
      </c>
      <c r="B22" s="201" t="s">
        <v>30</v>
      </c>
      <c r="C22" s="201"/>
      <c r="D22" s="202">
        <v>1642.93</v>
      </c>
      <c r="E22" s="202"/>
    </row>
    <row r="23" spans="1:5">
      <c r="A23" s="48">
        <v>4</v>
      </c>
      <c r="B23" s="201" t="s">
        <v>31</v>
      </c>
      <c r="C23" s="201"/>
      <c r="D23" s="203"/>
      <c r="E23" s="203"/>
    </row>
    <row r="24" spans="1:5">
      <c r="A24" s="48">
        <v>5</v>
      </c>
      <c r="B24" s="204" t="s">
        <v>32</v>
      </c>
      <c r="C24" s="204"/>
      <c r="D24" s="205"/>
      <c r="E24" s="205"/>
    </row>
    <row r="25" spans="1:5">
      <c r="A25" s="162" t="s">
        <v>33</v>
      </c>
      <c r="B25" s="163"/>
      <c r="C25" s="163"/>
      <c r="D25" s="164"/>
      <c r="E25" s="5"/>
    </row>
    <row r="26" spans="1:5">
      <c r="A26" s="25">
        <v>1</v>
      </c>
      <c r="B26" s="144" t="s">
        <v>34</v>
      </c>
      <c r="C26" s="145"/>
      <c r="D26" s="51"/>
      <c r="E26" s="98" t="s">
        <v>26</v>
      </c>
    </row>
    <row r="27" spans="1:5">
      <c r="A27" s="52" t="s">
        <v>7</v>
      </c>
      <c r="B27" s="53" t="s">
        <v>36</v>
      </c>
      <c r="C27" s="194"/>
      <c r="D27" s="195"/>
      <c r="E27" s="5">
        <f>D22</f>
        <v>1642.93</v>
      </c>
    </row>
    <row r="28" spans="1:5">
      <c r="A28" s="52" t="s">
        <v>9</v>
      </c>
      <c r="B28" s="53" t="s">
        <v>37</v>
      </c>
      <c r="C28" s="196" t="s">
        <v>38</v>
      </c>
      <c r="D28" s="197"/>
      <c r="E28" s="3">
        <f>TRUNC($E$27*30%,2)</f>
        <v>492.87</v>
      </c>
    </row>
    <row r="29" spans="1:5" ht="39.6" customHeight="1">
      <c r="A29" s="1" t="s">
        <v>14</v>
      </c>
      <c r="B29" s="2" t="s">
        <v>39</v>
      </c>
      <c r="C29" s="128" t="s">
        <v>40</v>
      </c>
      <c r="D29" s="129"/>
      <c r="E29" s="3">
        <f>TRUNC(((8*(7*4.345))*(((E27+E28)/220)*20%)/2),2)</f>
        <v>236.21</v>
      </c>
    </row>
    <row r="30" spans="1:5">
      <c r="A30" s="1" t="s">
        <v>41</v>
      </c>
      <c r="B30" s="2" t="s">
        <v>42</v>
      </c>
      <c r="C30" s="130" t="s">
        <v>43</v>
      </c>
      <c r="D30" s="129"/>
      <c r="E30" s="3">
        <f>TRUNC(((1*(7*4.345))*(((E27+E28)/220))/2),2)</f>
        <v>147.63</v>
      </c>
    </row>
    <row r="31" spans="1:5">
      <c r="A31" s="198" t="s">
        <v>46</v>
      </c>
      <c r="B31" s="199"/>
      <c r="C31" s="199"/>
      <c r="D31" s="200"/>
      <c r="E31" s="5">
        <f>SUM(E27:E30)</f>
        <v>2519.6400000000003</v>
      </c>
    </row>
    <row r="32" spans="1:5">
      <c r="A32" s="159" t="s">
        <v>47</v>
      </c>
      <c r="B32" s="160"/>
      <c r="C32" s="160"/>
      <c r="D32" s="161"/>
      <c r="E32" s="12">
        <f>SUM(E31:E31)</f>
        <v>2519.6400000000003</v>
      </c>
    </row>
    <row r="33" spans="1:5">
      <c r="A33" s="162" t="s">
        <v>48</v>
      </c>
      <c r="B33" s="163"/>
      <c r="C33" s="163"/>
      <c r="D33" s="164"/>
      <c r="E33" s="5"/>
    </row>
    <row r="34" spans="1:5">
      <c r="A34" s="36"/>
      <c r="B34" s="169" t="s">
        <v>49</v>
      </c>
      <c r="C34" s="169"/>
      <c r="D34" s="169"/>
      <c r="E34" s="170"/>
    </row>
    <row r="35" spans="1:5">
      <c r="A35" s="54" t="s">
        <v>50</v>
      </c>
      <c r="B35" s="116" t="s">
        <v>51</v>
      </c>
      <c r="C35" s="118"/>
      <c r="D35" s="6"/>
      <c r="E35" s="98" t="s">
        <v>26</v>
      </c>
    </row>
    <row r="36" spans="1:5">
      <c r="A36" s="6" t="s">
        <v>7</v>
      </c>
      <c r="B36" s="7" t="s">
        <v>52</v>
      </c>
      <c r="C36" s="8"/>
      <c r="D36" s="9">
        <f>1/12</f>
        <v>8.3333333333333329E-2</v>
      </c>
      <c r="E36" s="5">
        <f>TRUNC($E$32*D36,2)</f>
        <v>209.97</v>
      </c>
    </row>
    <row r="37" spans="1:5">
      <c r="A37" s="6" t="s">
        <v>9</v>
      </c>
      <c r="B37" s="7" t="s">
        <v>53</v>
      </c>
      <c r="C37" s="8"/>
      <c r="D37" s="9">
        <f>(((1+1/3)/12))</f>
        <v>0.1111111111111111</v>
      </c>
      <c r="E37" s="5">
        <f>TRUNC($E$32*D37,2)</f>
        <v>279.95999999999998</v>
      </c>
    </row>
    <row r="38" spans="1:5">
      <c r="A38" s="189" t="s">
        <v>46</v>
      </c>
      <c r="B38" s="190"/>
      <c r="C38" s="191"/>
      <c r="D38" s="10">
        <f>SUM(D36:D37)</f>
        <v>0.19444444444444442</v>
      </c>
      <c r="E38" s="5">
        <f>SUM(E36:E37)</f>
        <v>489.92999999999995</v>
      </c>
    </row>
    <row r="39" spans="1:5">
      <c r="A39" s="192" t="s">
        <v>54</v>
      </c>
      <c r="B39" s="192"/>
      <c r="C39" s="192"/>
      <c r="D39" s="192"/>
      <c r="E39" s="5">
        <f>SUM(E38:E38)</f>
        <v>489.92999999999995</v>
      </c>
    </row>
    <row r="40" spans="1:5">
      <c r="A40" s="193" t="s">
        <v>55</v>
      </c>
      <c r="B40" s="193"/>
      <c r="C40" s="193"/>
      <c r="D40" s="85" t="s">
        <v>56</v>
      </c>
      <c r="E40" s="86">
        <f>E32</f>
        <v>2519.6400000000003</v>
      </c>
    </row>
    <row r="41" spans="1:5">
      <c r="A41" s="193"/>
      <c r="B41" s="193"/>
      <c r="C41" s="193"/>
      <c r="D41" s="85" t="s">
        <v>57</v>
      </c>
      <c r="E41" s="87">
        <f>E39</f>
        <v>489.92999999999995</v>
      </c>
    </row>
    <row r="42" spans="1:5">
      <c r="A42" s="193"/>
      <c r="B42" s="193"/>
      <c r="C42" s="193"/>
      <c r="D42" s="96" t="s">
        <v>46</v>
      </c>
      <c r="E42" s="87">
        <f>SUM(E40:E41)</f>
        <v>3009.57</v>
      </c>
    </row>
    <row r="43" spans="1:5">
      <c r="A43" s="55"/>
      <c r="B43" s="187" t="s">
        <v>58</v>
      </c>
      <c r="C43" s="187"/>
      <c r="D43" s="188"/>
      <c r="E43" s="56"/>
    </row>
    <row r="44" spans="1:5">
      <c r="A44" s="25" t="s">
        <v>59</v>
      </c>
      <c r="B44" s="144" t="s">
        <v>60</v>
      </c>
      <c r="C44" s="145"/>
      <c r="D44" s="6"/>
      <c r="E44" s="98" t="s">
        <v>26</v>
      </c>
    </row>
    <row r="45" spans="1:5">
      <c r="A45" s="17" t="s">
        <v>7</v>
      </c>
      <c r="B45" s="185" t="s">
        <v>61</v>
      </c>
      <c r="C45" s="186"/>
      <c r="D45" s="43">
        <v>0.2</v>
      </c>
      <c r="E45" s="5">
        <f>TRUNC($E$42*D45,2)</f>
        <v>601.91</v>
      </c>
    </row>
    <row r="46" spans="1:5">
      <c r="A46" s="17" t="s">
        <v>9</v>
      </c>
      <c r="B46" s="185" t="s">
        <v>62</v>
      </c>
      <c r="C46" s="186"/>
      <c r="D46" s="43">
        <v>2.5000000000000001E-2</v>
      </c>
      <c r="E46" s="5">
        <f>TRUNC($E$42*D46,2)</f>
        <v>75.23</v>
      </c>
    </row>
    <row r="47" spans="1:5">
      <c r="A47" s="112" t="s">
        <v>11</v>
      </c>
      <c r="B47" s="262" t="s">
        <v>153</v>
      </c>
      <c r="C47" s="263"/>
      <c r="D47" s="264">
        <f>3%*1.34</f>
        <v>4.02E-2</v>
      </c>
      <c r="E47" s="265">
        <f t="shared" ref="E47:E52" si="0">TRUNC($E$42*D47,2)</f>
        <v>120.98</v>
      </c>
    </row>
    <row r="48" spans="1:5">
      <c r="A48" s="17" t="s">
        <v>14</v>
      </c>
      <c r="B48" s="185" t="s">
        <v>63</v>
      </c>
      <c r="C48" s="186"/>
      <c r="D48" s="43">
        <v>1.4999999999999999E-2</v>
      </c>
      <c r="E48" s="5">
        <f t="shared" si="0"/>
        <v>45.14</v>
      </c>
    </row>
    <row r="49" spans="1:5">
      <c r="A49" s="17" t="s">
        <v>41</v>
      </c>
      <c r="B49" s="185" t="s">
        <v>64</v>
      </c>
      <c r="C49" s="186"/>
      <c r="D49" s="43">
        <v>0.01</v>
      </c>
      <c r="E49" s="5">
        <f t="shared" si="0"/>
        <v>30.09</v>
      </c>
    </row>
    <row r="50" spans="1:5">
      <c r="A50" s="17" t="s">
        <v>44</v>
      </c>
      <c r="B50" s="173" t="s">
        <v>65</v>
      </c>
      <c r="C50" s="173"/>
      <c r="D50" s="43">
        <v>6.0000000000000001E-3</v>
      </c>
      <c r="E50" s="5">
        <f>TRUNC($E$42*D50,2)</f>
        <v>18.05</v>
      </c>
    </row>
    <row r="51" spans="1:5">
      <c r="A51" s="17" t="s">
        <v>45</v>
      </c>
      <c r="B51" s="185" t="s">
        <v>66</v>
      </c>
      <c r="C51" s="186"/>
      <c r="D51" s="43">
        <v>2E-3</v>
      </c>
      <c r="E51" s="5">
        <f t="shared" si="0"/>
        <v>6.01</v>
      </c>
    </row>
    <row r="52" spans="1:5">
      <c r="A52" s="17" t="s">
        <v>67</v>
      </c>
      <c r="B52" s="185" t="s">
        <v>68</v>
      </c>
      <c r="C52" s="186"/>
      <c r="D52" s="43">
        <v>0.08</v>
      </c>
      <c r="E52" s="5">
        <f t="shared" si="0"/>
        <v>240.76</v>
      </c>
    </row>
    <row r="53" spans="1:5">
      <c r="A53" s="134" t="s">
        <v>46</v>
      </c>
      <c r="B53" s="135"/>
      <c r="C53" s="136"/>
      <c r="D53" s="21">
        <f>SUM(D45:D52)</f>
        <v>0.37820000000000004</v>
      </c>
      <c r="E53" s="12">
        <f>SUM(E45:E52)</f>
        <v>1138.17</v>
      </c>
    </row>
    <row r="54" spans="1:5">
      <c r="A54" s="36"/>
      <c r="B54" s="169" t="s">
        <v>69</v>
      </c>
      <c r="C54" s="169"/>
      <c r="D54" s="169"/>
      <c r="E54" s="170"/>
    </row>
    <row r="55" spans="1:5">
      <c r="A55" s="25" t="s">
        <v>70</v>
      </c>
      <c r="B55" s="144" t="s">
        <v>71</v>
      </c>
      <c r="C55" s="145"/>
      <c r="D55" s="6"/>
      <c r="E55" s="98" t="s">
        <v>26</v>
      </c>
    </row>
    <row r="56" spans="1:5">
      <c r="A56" s="112" t="s">
        <v>7</v>
      </c>
      <c r="B56" s="183" t="s">
        <v>72</v>
      </c>
      <c r="C56" s="184"/>
      <c r="D56" s="113"/>
      <c r="E56" s="114">
        <v>0</v>
      </c>
    </row>
    <row r="57" spans="1:5">
      <c r="A57" s="17" t="s">
        <v>9</v>
      </c>
      <c r="B57" s="116" t="s">
        <v>73</v>
      </c>
      <c r="C57" s="118"/>
      <c r="D57" s="57" t="s">
        <v>74</v>
      </c>
      <c r="E57" s="14">
        <f>TRUNC((7*4.345)*(18*0.9)/2,2)</f>
        <v>246.36</v>
      </c>
    </row>
    <row r="58" spans="1:5">
      <c r="A58" s="17" t="s">
        <v>11</v>
      </c>
      <c r="B58" s="116" t="s">
        <v>75</v>
      </c>
      <c r="C58" s="118"/>
      <c r="D58" s="57"/>
      <c r="E58" s="5">
        <v>93.36</v>
      </c>
    </row>
    <row r="59" spans="1:5">
      <c r="A59" s="112" t="s">
        <v>14</v>
      </c>
      <c r="B59" s="183" t="s">
        <v>76</v>
      </c>
      <c r="C59" s="184"/>
      <c r="D59" s="266"/>
      <c r="E59" s="265">
        <v>10.85</v>
      </c>
    </row>
    <row r="60" spans="1:5">
      <c r="A60" s="17" t="s">
        <v>41</v>
      </c>
      <c r="B60" s="116" t="s">
        <v>77</v>
      </c>
      <c r="C60" s="118"/>
      <c r="D60" s="57"/>
      <c r="E60" s="5">
        <v>0</v>
      </c>
    </row>
    <row r="61" spans="1:5">
      <c r="A61" s="17" t="s">
        <v>44</v>
      </c>
      <c r="B61" s="116" t="s">
        <v>77</v>
      </c>
      <c r="C61" s="118"/>
      <c r="D61" s="58"/>
      <c r="E61" s="5">
        <v>0</v>
      </c>
    </row>
    <row r="62" spans="1:5">
      <c r="A62" s="177" t="s">
        <v>78</v>
      </c>
      <c r="B62" s="178"/>
      <c r="C62" s="178"/>
      <c r="D62" s="179"/>
      <c r="E62" s="12">
        <f>SUM(E56:E61)</f>
        <v>350.57000000000005</v>
      </c>
    </row>
    <row r="63" spans="1:5">
      <c r="A63" s="155" t="s">
        <v>79</v>
      </c>
      <c r="B63" s="156"/>
      <c r="C63" s="156"/>
      <c r="D63" s="156"/>
      <c r="E63" s="157"/>
    </row>
    <row r="64" spans="1:5">
      <c r="A64" s="26">
        <v>2</v>
      </c>
      <c r="B64" s="144" t="s">
        <v>80</v>
      </c>
      <c r="C64" s="158"/>
      <c r="D64" s="145"/>
      <c r="E64" s="27" t="s">
        <v>26</v>
      </c>
    </row>
    <row r="65" spans="1:5" ht="30">
      <c r="A65" s="99" t="s">
        <v>50</v>
      </c>
      <c r="B65" s="29" t="s">
        <v>51</v>
      </c>
      <c r="C65" s="30"/>
      <c r="D65" s="31"/>
      <c r="E65" s="5">
        <f>E39</f>
        <v>489.92999999999995</v>
      </c>
    </row>
    <row r="66" spans="1:5" ht="30">
      <c r="A66" s="99" t="s">
        <v>59</v>
      </c>
      <c r="B66" s="29" t="s">
        <v>60</v>
      </c>
      <c r="C66" s="30"/>
      <c r="D66" s="31"/>
      <c r="E66" s="5">
        <f>E53</f>
        <v>1138.17</v>
      </c>
    </row>
    <row r="67" spans="1:5" ht="30">
      <c r="A67" s="99" t="s">
        <v>70</v>
      </c>
      <c r="B67" s="29" t="s">
        <v>71</v>
      </c>
      <c r="C67" s="30"/>
      <c r="D67" s="31"/>
      <c r="E67" s="5">
        <f>E62</f>
        <v>350.57000000000005</v>
      </c>
    </row>
    <row r="68" spans="1:5">
      <c r="A68" s="22"/>
      <c r="B68" s="23"/>
      <c r="C68" s="23"/>
      <c r="D68" s="24" t="s">
        <v>46</v>
      </c>
      <c r="E68" s="12">
        <f>SUM(E65:E67)</f>
        <v>1978.67</v>
      </c>
    </row>
    <row r="69" spans="1:5">
      <c r="A69" s="180" t="s">
        <v>81</v>
      </c>
      <c r="B69" s="180"/>
      <c r="C69" s="180"/>
      <c r="D69" s="180"/>
      <c r="E69" s="180"/>
    </row>
    <row r="70" spans="1:5">
      <c r="A70" s="25">
        <v>3</v>
      </c>
      <c r="B70" s="137" t="s">
        <v>82</v>
      </c>
      <c r="C70" s="181"/>
      <c r="D70" s="182"/>
      <c r="E70" s="59" t="s">
        <v>26</v>
      </c>
    </row>
    <row r="71" spans="1:5">
      <c r="A71" s="60" t="s">
        <v>7</v>
      </c>
      <c r="B71" s="171" t="s">
        <v>83</v>
      </c>
      <c r="C71" s="172"/>
      <c r="D71" s="40">
        <f>((1/12)*0.03)</f>
        <v>2.4999999999999996E-3</v>
      </c>
      <c r="E71" s="5">
        <f>TRUNC(+$E$32*D71,2)</f>
        <v>6.29</v>
      </c>
    </row>
    <row r="72" spans="1:5">
      <c r="A72" s="60" t="s">
        <v>9</v>
      </c>
      <c r="B72" s="171" t="s">
        <v>84</v>
      </c>
      <c r="C72" s="172"/>
      <c r="D72" s="40">
        <f>+D52</f>
        <v>0.08</v>
      </c>
      <c r="E72" s="5">
        <f>TRUNC(+E71*D72,2)</f>
        <v>0.5</v>
      </c>
    </row>
    <row r="73" spans="1:5" ht="31.9" customHeight="1">
      <c r="A73" s="60" t="s">
        <v>11</v>
      </c>
      <c r="B73" s="171" t="s">
        <v>85</v>
      </c>
      <c r="C73" s="172"/>
      <c r="D73" s="40">
        <f>(0.08*0.5*0.03)</f>
        <v>1.1999999999999999E-3</v>
      </c>
      <c r="E73" s="5">
        <f>ROUND(+$E$32*D73,2)</f>
        <v>3.02</v>
      </c>
    </row>
    <row r="74" spans="1:5">
      <c r="A74" s="88" t="s">
        <v>14</v>
      </c>
      <c r="B74" s="173" t="s">
        <v>86</v>
      </c>
      <c r="C74" s="173"/>
      <c r="D74" s="77">
        <f>((7/30)/12)*0.97</f>
        <v>1.886111111111111E-2</v>
      </c>
      <c r="E74" s="5">
        <f>TRUNC(+D74*$E$32,2)</f>
        <v>47.52</v>
      </c>
    </row>
    <row r="75" spans="1:5">
      <c r="A75" s="60" t="s">
        <v>41</v>
      </c>
      <c r="B75" s="174" t="s">
        <v>87</v>
      </c>
      <c r="C75" s="174"/>
      <c r="D75" s="40">
        <f>+D53</f>
        <v>0.37820000000000004</v>
      </c>
      <c r="E75" s="5">
        <f>TRUNC(+E74*D75,2)</f>
        <v>17.97</v>
      </c>
    </row>
    <row r="76" spans="1:5">
      <c r="A76" s="89" t="s">
        <v>44</v>
      </c>
      <c r="B76" s="175" t="s">
        <v>88</v>
      </c>
      <c r="C76" s="176"/>
      <c r="D76" s="90">
        <f>(0.08*0.5)*0.97</f>
        <v>3.8800000000000001E-2</v>
      </c>
      <c r="E76" s="5">
        <f>TRUNC(+E32*D76,E348)</f>
        <v>97</v>
      </c>
    </row>
    <row r="77" spans="1:5">
      <c r="A77" s="165" t="s">
        <v>46</v>
      </c>
      <c r="B77" s="166"/>
      <c r="C77" s="166"/>
      <c r="D77" s="167"/>
      <c r="E77" s="16">
        <f>SUM(E71:E76)</f>
        <v>172.3</v>
      </c>
    </row>
    <row r="78" spans="1:5">
      <c r="A78" s="140" t="s">
        <v>89</v>
      </c>
      <c r="B78" s="140"/>
      <c r="C78" s="140"/>
      <c r="D78" s="92" t="s">
        <v>56</v>
      </c>
      <c r="E78" s="93">
        <f>E32</f>
        <v>2519.6400000000003</v>
      </c>
    </row>
    <row r="79" spans="1:5">
      <c r="A79" s="140"/>
      <c r="B79" s="140"/>
      <c r="C79" s="140"/>
      <c r="D79" s="92" t="s">
        <v>90</v>
      </c>
      <c r="E79" s="93">
        <f>E68</f>
        <v>1978.67</v>
      </c>
    </row>
    <row r="80" spans="1:5">
      <c r="A80" s="140"/>
      <c r="B80" s="140"/>
      <c r="C80" s="140"/>
      <c r="D80" s="92" t="s">
        <v>91</v>
      </c>
      <c r="E80" s="93">
        <f>E77</f>
        <v>172.3</v>
      </c>
    </row>
    <row r="81" spans="1:5">
      <c r="A81" s="140"/>
      <c r="B81" s="140"/>
      <c r="C81" s="140"/>
      <c r="D81" s="95" t="s">
        <v>78</v>
      </c>
      <c r="E81" s="94">
        <f>SUM(E78:E80)</f>
        <v>4670.6100000000006</v>
      </c>
    </row>
    <row r="82" spans="1:5">
      <c r="A82" s="141" t="s">
        <v>92</v>
      </c>
      <c r="B82" s="142"/>
      <c r="C82" s="142"/>
      <c r="D82" s="143"/>
      <c r="E82" s="91"/>
    </row>
    <row r="83" spans="1:5">
      <c r="A83" s="168" t="s">
        <v>93</v>
      </c>
      <c r="B83" s="169"/>
      <c r="C83" s="169"/>
      <c r="D83" s="169"/>
      <c r="E83" s="170"/>
    </row>
    <row r="84" spans="1:5">
      <c r="A84" s="34" t="s">
        <v>94</v>
      </c>
      <c r="B84" s="36" t="s">
        <v>95</v>
      </c>
      <c r="C84" s="37"/>
      <c r="D84" s="6"/>
      <c r="E84" s="35" t="s">
        <v>26</v>
      </c>
    </row>
    <row r="85" spans="1:5" ht="16.5">
      <c r="A85" s="17" t="s">
        <v>7</v>
      </c>
      <c r="B85" s="38" t="s">
        <v>96</v>
      </c>
      <c r="C85" s="39"/>
      <c r="D85" s="40">
        <f>(( 1+1/3)/12)/12</f>
        <v>9.2592592592592587E-3</v>
      </c>
      <c r="E85" s="5">
        <f>TRUNC(+D85*$E$81,2)</f>
        <v>43.24</v>
      </c>
    </row>
    <row r="86" spans="1:5" ht="16.5">
      <c r="A86" s="17" t="s">
        <v>9</v>
      </c>
      <c r="B86" t="s">
        <v>97</v>
      </c>
      <c r="C86" s="39"/>
      <c r="D86" s="40">
        <f>((2/30)/12)</f>
        <v>5.5555555555555558E-3</v>
      </c>
      <c r="E86" s="5">
        <f>TRUNC(+D86*$E$81,2)</f>
        <v>25.94</v>
      </c>
    </row>
    <row r="87" spans="1:5" ht="16.5">
      <c r="A87" s="17" t="s">
        <v>11</v>
      </c>
      <c r="B87" s="38" t="s">
        <v>98</v>
      </c>
      <c r="C87" s="39"/>
      <c r="D87" s="40">
        <f>((5/30)/12)*0.02</f>
        <v>2.7777777777777778E-4</v>
      </c>
      <c r="E87" s="5">
        <f t="shared" ref="E87:E90" si="1">TRUNC(+D87*$E$81,2)</f>
        <v>1.29</v>
      </c>
    </row>
    <row r="88" spans="1:5" ht="30">
      <c r="A88" s="17" t="s">
        <v>14</v>
      </c>
      <c r="B88" s="38" t="s">
        <v>99</v>
      </c>
      <c r="C88" s="39"/>
      <c r="D88" s="40">
        <f>((15/30)/12)*0.02</f>
        <v>8.3333333333333328E-4</v>
      </c>
      <c r="E88" s="5">
        <f>TRUNC(+D88*$E$81,2)</f>
        <v>3.89</v>
      </c>
    </row>
    <row r="89" spans="1:5" ht="30">
      <c r="A89" s="17" t="s">
        <v>41</v>
      </c>
      <c r="B89" s="38" t="s">
        <v>100</v>
      </c>
      <c r="C89" s="39"/>
      <c r="D89" s="18">
        <f>((1+1/3)/12)*0.01*((4/12))</f>
        <v>3.7037037037037035E-4</v>
      </c>
      <c r="E89" s="5">
        <f t="shared" si="1"/>
        <v>1.72</v>
      </c>
    </row>
    <row r="90" spans="1:5">
      <c r="A90" s="17" t="s">
        <v>44</v>
      </c>
      <c r="B90" s="41" t="s">
        <v>101</v>
      </c>
      <c r="C90" s="42"/>
      <c r="D90" s="43">
        <v>0</v>
      </c>
      <c r="E90" s="5">
        <f t="shared" si="1"/>
        <v>0</v>
      </c>
    </row>
    <row r="91" spans="1:5">
      <c r="A91" s="134" t="s">
        <v>46</v>
      </c>
      <c r="B91" s="135"/>
      <c r="C91" s="136"/>
      <c r="D91" s="19"/>
      <c r="E91" s="12">
        <f>SUM(E85:E90)</f>
        <v>76.080000000000013</v>
      </c>
    </row>
    <row r="92" spans="1:5">
      <c r="A92" s="116" t="s">
        <v>102</v>
      </c>
      <c r="B92" s="117"/>
      <c r="C92" s="117"/>
      <c r="D92" s="117"/>
      <c r="E92" s="118"/>
    </row>
    <row r="93" spans="1:5">
      <c r="A93" s="61" t="s">
        <v>103</v>
      </c>
      <c r="B93" s="36" t="s">
        <v>104</v>
      </c>
      <c r="C93" s="37"/>
      <c r="D93" s="6"/>
      <c r="E93" s="35" t="s">
        <v>26</v>
      </c>
    </row>
    <row r="94" spans="1:5">
      <c r="A94" s="17" t="s">
        <v>7</v>
      </c>
      <c r="B94" s="153" t="s">
        <v>105</v>
      </c>
      <c r="C94" s="154"/>
      <c r="D94" s="43"/>
      <c r="E94" s="4">
        <f>TRUNC(((E81)/220)*(1*(7*4.345))/2,2)</f>
        <v>322.85000000000002</v>
      </c>
    </row>
    <row r="95" spans="1:5">
      <c r="A95" s="134" t="s">
        <v>46</v>
      </c>
      <c r="B95" s="135"/>
      <c r="C95" s="136"/>
      <c r="D95" s="19"/>
      <c r="E95" s="12">
        <f>SUM(E94)</f>
        <v>322.85000000000002</v>
      </c>
    </row>
    <row r="96" spans="1:5">
      <c r="A96" s="155" t="s">
        <v>106</v>
      </c>
      <c r="B96" s="156"/>
      <c r="C96" s="156"/>
      <c r="D96" s="156"/>
      <c r="E96" s="157"/>
    </row>
    <row r="97" spans="1:5">
      <c r="A97" s="26">
        <v>4</v>
      </c>
      <c r="B97" s="144" t="s">
        <v>107</v>
      </c>
      <c r="C97" s="158"/>
      <c r="D97" s="145"/>
      <c r="E97" s="27" t="s">
        <v>26</v>
      </c>
    </row>
    <row r="98" spans="1:5">
      <c r="A98" s="28" t="s">
        <v>94</v>
      </c>
      <c r="B98" s="29" t="s">
        <v>95</v>
      </c>
      <c r="C98" s="30"/>
      <c r="D98" s="31"/>
      <c r="E98" s="5">
        <f>+E91</f>
        <v>76.080000000000013</v>
      </c>
    </row>
    <row r="99" spans="1:5">
      <c r="A99" s="28" t="s">
        <v>103</v>
      </c>
      <c r="B99" s="29" t="s">
        <v>104</v>
      </c>
      <c r="C99" s="30"/>
      <c r="D99" s="31"/>
      <c r="E99" s="5">
        <f>+E95</f>
        <v>322.85000000000002</v>
      </c>
    </row>
    <row r="100" spans="1:5">
      <c r="A100" s="32"/>
      <c r="B100" s="30"/>
      <c r="C100" s="30"/>
      <c r="D100" s="33" t="s">
        <v>46</v>
      </c>
      <c r="E100" s="5">
        <f>SUM(E98:E99)</f>
        <v>398.93000000000006</v>
      </c>
    </row>
    <row r="101" spans="1:5">
      <c r="A101" s="159" t="s">
        <v>108</v>
      </c>
      <c r="B101" s="160"/>
      <c r="C101" s="160"/>
      <c r="D101" s="161"/>
      <c r="E101" s="12">
        <f>SUM(E100:E100)</f>
        <v>398.93000000000006</v>
      </c>
    </row>
    <row r="102" spans="1:5">
      <c r="A102" s="162" t="s">
        <v>109</v>
      </c>
      <c r="B102" s="163"/>
      <c r="C102" s="163"/>
      <c r="D102" s="164"/>
      <c r="E102" s="5"/>
    </row>
    <row r="103" spans="1:5">
      <c r="A103" s="34">
        <v>5</v>
      </c>
      <c r="B103" s="144" t="s">
        <v>110</v>
      </c>
      <c r="C103" s="145"/>
      <c r="D103" s="6"/>
      <c r="E103" s="35" t="s">
        <v>26</v>
      </c>
    </row>
    <row r="104" spans="1:5">
      <c r="A104" s="112" t="s">
        <v>7</v>
      </c>
      <c r="B104" s="267" t="s">
        <v>111</v>
      </c>
      <c r="C104" s="268"/>
      <c r="D104" s="269"/>
      <c r="E104" s="265">
        <v>38.729999999999997</v>
      </c>
    </row>
    <row r="105" spans="1:5">
      <c r="A105" s="112" t="s">
        <v>9</v>
      </c>
      <c r="B105" s="270" t="s">
        <v>112</v>
      </c>
      <c r="C105" s="271" t="s">
        <v>150</v>
      </c>
      <c r="D105" s="272"/>
      <c r="E105" s="273">
        <v>0</v>
      </c>
    </row>
    <row r="106" spans="1:5">
      <c r="A106" s="112" t="s">
        <v>11</v>
      </c>
      <c r="B106" s="274" t="s">
        <v>113</v>
      </c>
      <c r="C106" s="268" t="s">
        <v>149</v>
      </c>
      <c r="D106" s="269"/>
      <c r="E106" s="273">
        <v>20.100000000000001</v>
      </c>
    </row>
    <row r="107" spans="1:5">
      <c r="A107" s="17" t="s">
        <v>14</v>
      </c>
      <c r="B107" s="38" t="s">
        <v>77</v>
      </c>
      <c r="C107" s="148"/>
      <c r="D107" s="149"/>
      <c r="E107" s="5">
        <v>0</v>
      </c>
    </row>
    <row r="108" spans="1:5">
      <c r="A108" s="150" t="s">
        <v>114</v>
      </c>
      <c r="B108" s="151"/>
      <c r="C108" s="151"/>
      <c r="D108" s="152"/>
      <c r="E108" s="16">
        <f>SUM(E104:E107)</f>
        <v>58.83</v>
      </c>
    </row>
    <row r="109" spans="1:5">
      <c r="A109" s="140" t="s">
        <v>115</v>
      </c>
      <c r="B109" s="140"/>
      <c r="C109" s="140"/>
      <c r="D109" s="92" t="s">
        <v>56</v>
      </c>
      <c r="E109" s="93">
        <f>E32</f>
        <v>2519.6400000000003</v>
      </c>
    </row>
    <row r="110" spans="1:5">
      <c r="A110" s="140"/>
      <c r="B110" s="140"/>
      <c r="C110" s="140"/>
      <c r="D110" s="92" t="s">
        <v>90</v>
      </c>
      <c r="E110" s="93">
        <f>E68</f>
        <v>1978.67</v>
      </c>
    </row>
    <row r="111" spans="1:5">
      <c r="A111" s="140"/>
      <c r="B111" s="140"/>
      <c r="C111" s="140"/>
      <c r="D111" s="92" t="s">
        <v>91</v>
      </c>
      <c r="E111" s="93">
        <f>E77</f>
        <v>172.3</v>
      </c>
    </row>
    <row r="112" spans="1:5">
      <c r="A112" s="140"/>
      <c r="B112" s="140"/>
      <c r="C112" s="140"/>
      <c r="D112" s="92" t="s">
        <v>116</v>
      </c>
      <c r="E112" s="93">
        <f>E101</f>
        <v>398.93000000000006</v>
      </c>
    </row>
    <row r="113" spans="1:5">
      <c r="A113" s="140"/>
      <c r="B113" s="140"/>
      <c r="C113" s="140"/>
      <c r="D113" s="92" t="s">
        <v>117</v>
      </c>
      <c r="E113" s="93">
        <f>E108</f>
        <v>58.83</v>
      </c>
    </row>
    <row r="114" spans="1:5">
      <c r="A114" s="140"/>
      <c r="B114" s="140"/>
      <c r="C114" s="140"/>
      <c r="D114" s="95" t="s">
        <v>78</v>
      </c>
      <c r="E114" s="94">
        <f>SUM(E109:E113)</f>
        <v>5128.3700000000008</v>
      </c>
    </row>
    <row r="115" spans="1:5">
      <c r="A115" s="141" t="s">
        <v>118</v>
      </c>
      <c r="B115" s="142"/>
      <c r="C115" s="142" t="s">
        <v>119</v>
      </c>
      <c r="D115" s="143" t="s">
        <v>120</v>
      </c>
      <c r="E115" s="80"/>
    </row>
    <row r="116" spans="1:5">
      <c r="A116" s="25">
        <v>6</v>
      </c>
      <c r="B116" s="144" t="s">
        <v>121</v>
      </c>
      <c r="C116" s="145"/>
      <c r="D116" s="6"/>
      <c r="E116" s="98" t="s">
        <v>26</v>
      </c>
    </row>
    <row r="117" spans="1:5">
      <c r="A117" s="275" t="s">
        <v>7</v>
      </c>
      <c r="B117" s="267" t="s">
        <v>122</v>
      </c>
      <c r="C117" s="276">
        <v>0.06</v>
      </c>
      <c r="D117" s="277"/>
      <c r="E117" s="265">
        <f>TRUNC(+E114*C117,2)</f>
        <v>307.7</v>
      </c>
    </row>
    <row r="118" spans="1:5" ht="15.75" thickBot="1">
      <c r="A118" s="275" t="s">
        <v>9</v>
      </c>
      <c r="B118" s="267" t="s">
        <v>123</v>
      </c>
      <c r="C118" s="278">
        <v>6.7900000000000002E-2</v>
      </c>
      <c r="D118" s="279"/>
      <c r="E118" s="265">
        <f>TRUNC(C118*(+E114+E117),2)</f>
        <v>369.1</v>
      </c>
    </row>
    <row r="119" spans="1:5" ht="30.75" thickBot="1">
      <c r="A119" s="62"/>
      <c r="B119" s="63" t="s">
        <v>124</v>
      </c>
      <c r="C119" s="146" t="s">
        <v>125</v>
      </c>
      <c r="D119" s="147"/>
      <c r="E119" s="64">
        <f>E114+E117+E118</f>
        <v>5805.170000000001</v>
      </c>
    </row>
    <row r="120" spans="1:5" ht="15.75" thickBot="1">
      <c r="A120" s="65" t="s">
        <v>11</v>
      </c>
      <c r="B120" s="66" t="s">
        <v>126</v>
      </c>
      <c r="C120" s="67">
        <f>(D127*100)</f>
        <v>5.6499999999999995</v>
      </c>
      <c r="D120" s="68">
        <f>+(100-C120)/100</f>
        <v>0.94349999999999989</v>
      </c>
      <c r="E120" s="69">
        <f>TRUNC(E119/D120,2)</f>
        <v>6152.8</v>
      </c>
    </row>
    <row r="121" spans="1:5">
      <c r="A121" s="70"/>
      <c r="B121" s="71" t="s">
        <v>127</v>
      </c>
      <c r="C121" s="72"/>
      <c r="D121" s="73"/>
      <c r="E121" s="5"/>
    </row>
    <row r="122" spans="1:5">
      <c r="A122" s="70"/>
      <c r="B122" s="74" t="s">
        <v>128</v>
      </c>
      <c r="C122" s="42"/>
      <c r="D122" s="40">
        <v>6.4999999999999997E-3</v>
      </c>
      <c r="E122" s="5">
        <f>TRUNC(+E120*D122,2)</f>
        <v>39.99</v>
      </c>
    </row>
    <row r="123" spans="1:5">
      <c r="A123" s="70"/>
      <c r="B123" s="74" t="s">
        <v>129</v>
      </c>
      <c r="C123" s="42"/>
      <c r="D123" s="40">
        <v>0.03</v>
      </c>
      <c r="E123" s="5">
        <f>TRUNC(+E120*D123,2)</f>
        <v>184.58</v>
      </c>
    </row>
    <row r="124" spans="1:5">
      <c r="A124" s="70"/>
      <c r="B124" s="36" t="s">
        <v>130</v>
      </c>
      <c r="C124" s="75"/>
      <c r="D124" s="13"/>
      <c r="E124" s="5"/>
    </row>
    <row r="125" spans="1:5">
      <c r="A125" s="70"/>
      <c r="B125" s="36" t="s">
        <v>131</v>
      </c>
      <c r="C125" s="75"/>
      <c r="D125" s="75"/>
      <c r="E125" s="5"/>
    </row>
    <row r="126" spans="1:5">
      <c r="A126" s="70"/>
      <c r="B126" s="76" t="s">
        <v>132</v>
      </c>
      <c r="C126" s="42"/>
      <c r="D126" s="77">
        <v>0.02</v>
      </c>
      <c r="E126" s="11">
        <f>TRUNC(+E120*D126,2)</f>
        <v>123.05</v>
      </c>
    </row>
    <row r="127" spans="1:5">
      <c r="A127" s="78"/>
      <c r="B127" s="13" t="s">
        <v>133</v>
      </c>
      <c r="C127" s="13"/>
      <c r="D127" s="79">
        <f>SUM(D122:D126)</f>
        <v>5.6499999999999995E-2</v>
      </c>
      <c r="E127" s="5">
        <f>SUM(E122:E126)</f>
        <v>347.62</v>
      </c>
    </row>
    <row r="128" spans="1:5">
      <c r="A128" s="131" t="s">
        <v>134</v>
      </c>
      <c r="B128" s="132"/>
      <c r="C128" s="132"/>
      <c r="D128" s="133"/>
      <c r="E128" s="20">
        <f>E117+E118+E127</f>
        <v>1024.42</v>
      </c>
    </row>
    <row r="129" spans="1:5">
      <c r="A129" s="134" t="s">
        <v>135</v>
      </c>
      <c r="B129" s="135"/>
      <c r="C129" s="135"/>
      <c r="D129" s="136"/>
      <c r="E129" s="12">
        <f>SUM(E128:E128)</f>
        <v>1024.42</v>
      </c>
    </row>
    <row r="130" spans="1:5">
      <c r="A130" s="137" t="s">
        <v>136</v>
      </c>
      <c r="B130" s="138"/>
      <c r="C130" s="138"/>
      <c r="D130" s="138"/>
      <c r="E130" s="139"/>
    </row>
    <row r="131" spans="1:5">
      <c r="A131" s="137" t="s">
        <v>137</v>
      </c>
      <c r="B131" s="138"/>
      <c r="C131" s="138"/>
      <c r="D131" s="139"/>
      <c r="E131" s="98" t="s">
        <v>26</v>
      </c>
    </row>
    <row r="132" spans="1:5">
      <c r="A132" s="26" t="s">
        <v>7</v>
      </c>
      <c r="B132" s="116" t="s">
        <v>138</v>
      </c>
      <c r="C132" s="117"/>
      <c r="D132" s="118"/>
      <c r="E132" s="5">
        <f>E32</f>
        <v>2519.6400000000003</v>
      </c>
    </row>
    <row r="133" spans="1:5">
      <c r="A133" s="26" t="s">
        <v>9</v>
      </c>
      <c r="B133" s="116" t="s">
        <v>139</v>
      </c>
      <c r="C133" s="117"/>
      <c r="D133" s="118"/>
      <c r="E133" s="5">
        <f>+E68</f>
        <v>1978.67</v>
      </c>
    </row>
    <row r="134" spans="1:5">
      <c r="A134" s="26" t="s">
        <v>11</v>
      </c>
      <c r="B134" s="116" t="s">
        <v>140</v>
      </c>
      <c r="C134" s="117"/>
      <c r="D134" s="118"/>
      <c r="E134" s="5">
        <f>+E77</f>
        <v>172.3</v>
      </c>
    </row>
    <row r="135" spans="1:5">
      <c r="A135" s="26" t="s">
        <v>14</v>
      </c>
      <c r="B135" s="116" t="s">
        <v>141</v>
      </c>
      <c r="C135" s="117"/>
      <c r="D135" s="118"/>
      <c r="E135" s="5">
        <f>+E101</f>
        <v>398.93000000000006</v>
      </c>
    </row>
    <row r="136" spans="1:5" ht="30">
      <c r="A136" s="26" t="s">
        <v>41</v>
      </c>
      <c r="B136" s="63" t="s">
        <v>142</v>
      </c>
      <c r="C136" s="81"/>
      <c r="D136" s="82"/>
      <c r="E136" s="5">
        <f>+E108</f>
        <v>58.83</v>
      </c>
    </row>
    <row r="137" spans="1:5" s="84" customFormat="1">
      <c r="A137" s="119" t="s">
        <v>143</v>
      </c>
      <c r="B137" s="120"/>
      <c r="C137" s="121"/>
      <c r="D137" s="40"/>
      <c r="E137" s="5">
        <f>SUM(E132:E136)</f>
        <v>5128.3700000000008</v>
      </c>
    </row>
    <row r="138" spans="1:5" ht="15.75" thickBot="1">
      <c r="A138" s="83" t="s">
        <v>44</v>
      </c>
      <c r="B138" s="122" t="s">
        <v>144</v>
      </c>
      <c r="C138" s="123"/>
      <c r="D138" s="124"/>
      <c r="E138" s="11">
        <f>E129</f>
        <v>1024.42</v>
      </c>
    </row>
    <row r="139" spans="1:5" ht="15.75" thickBot="1">
      <c r="A139" s="125" t="s">
        <v>145</v>
      </c>
      <c r="B139" s="126"/>
      <c r="C139" s="126"/>
      <c r="D139" s="127"/>
      <c r="E139" s="97">
        <f>+E137+E138</f>
        <v>6152.7900000000009</v>
      </c>
    </row>
  </sheetData>
  <mergeCells count="110">
    <mergeCell ref="B6:E6"/>
    <mergeCell ref="A7:E7"/>
    <mergeCell ref="C8:E8"/>
    <mergeCell ref="C9:E9"/>
    <mergeCell ref="C10:E10"/>
    <mergeCell ref="C11:E11"/>
    <mergeCell ref="A1:E2"/>
    <mergeCell ref="A3:C3"/>
    <mergeCell ref="A4:C4"/>
    <mergeCell ref="D4:E4"/>
    <mergeCell ref="A5:C5"/>
    <mergeCell ref="D5:E5"/>
    <mergeCell ref="A17:E17"/>
    <mergeCell ref="A18:E18"/>
    <mergeCell ref="A19:D19"/>
    <mergeCell ref="B20:C20"/>
    <mergeCell ref="D20:E20"/>
    <mergeCell ref="B21:C21"/>
    <mergeCell ref="D21:E21"/>
    <mergeCell ref="A12:E12"/>
    <mergeCell ref="A13:B13"/>
    <mergeCell ref="D13:E13"/>
    <mergeCell ref="A14:B16"/>
    <mergeCell ref="C14:C16"/>
    <mergeCell ref="D14:E16"/>
    <mergeCell ref="A25:D25"/>
    <mergeCell ref="B26:C26"/>
    <mergeCell ref="C27:D27"/>
    <mergeCell ref="C28:D28"/>
    <mergeCell ref="A31:D31"/>
    <mergeCell ref="A32:D32"/>
    <mergeCell ref="B22:C22"/>
    <mergeCell ref="D22:E22"/>
    <mergeCell ref="B23:C23"/>
    <mergeCell ref="D23:E23"/>
    <mergeCell ref="B24:C24"/>
    <mergeCell ref="D24:E24"/>
    <mergeCell ref="B43:D43"/>
    <mergeCell ref="B44:C44"/>
    <mergeCell ref="B45:C45"/>
    <mergeCell ref="B46:C46"/>
    <mergeCell ref="B47:C47"/>
    <mergeCell ref="B48:C48"/>
    <mergeCell ref="A33:D33"/>
    <mergeCell ref="B34:E34"/>
    <mergeCell ref="B35:C35"/>
    <mergeCell ref="A38:C38"/>
    <mergeCell ref="A39:D39"/>
    <mergeCell ref="A40:C42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A53:C53"/>
    <mergeCell ref="B54:E54"/>
    <mergeCell ref="B71:C71"/>
    <mergeCell ref="B72:C72"/>
    <mergeCell ref="B73:C73"/>
    <mergeCell ref="B74:C74"/>
    <mergeCell ref="B75:C75"/>
    <mergeCell ref="B76:C76"/>
    <mergeCell ref="B61:C61"/>
    <mergeCell ref="A62:D62"/>
    <mergeCell ref="A63:E63"/>
    <mergeCell ref="B64:D64"/>
    <mergeCell ref="A69:E69"/>
    <mergeCell ref="B70:D70"/>
    <mergeCell ref="A108:D108"/>
    <mergeCell ref="B94:C94"/>
    <mergeCell ref="A95:C95"/>
    <mergeCell ref="A96:E96"/>
    <mergeCell ref="B97:D97"/>
    <mergeCell ref="A101:D101"/>
    <mergeCell ref="A102:D102"/>
    <mergeCell ref="A77:D77"/>
    <mergeCell ref="A78:C81"/>
    <mergeCell ref="A82:D82"/>
    <mergeCell ref="A83:E83"/>
    <mergeCell ref="A91:C91"/>
    <mergeCell ref="A92:E92"/>
    <mergeCell ref="B134:D134"/>
    <mergeCell ref="B135:D135"/>
    <mergeCell ref="A137:C137"/>
    <mergeCell ref="B138:D138"/>
    <mergeCell ref="A139:D139"/>
    <mergeCell ref="C29:D29"/>
    <mergeCell ref="C30:D30"/>
    <mergeCell ref="A128:D128"/>
    <mergeCell ref="A129:D129"/>
    <mergeCell ref="A130:E130"/>
    <mergeCell ref="A131:D131"/>
    <mergeCell ref="B132:D132"/>
    <mergeCell ref="B133:D133"/>
    <mergeCell ref="A109:C114"/>
    <mergeCell ref="A115:D115"/>
    <mergeCell ref="B116:C116"/>
    <mergeCell ref="C117:D117"/>
    <mergeCell ref="C118:D118"/>
    <mergeCell ref="C119:D119"/>
    <mergeCell ref="B103:C103"/>
    <mergeCell ref="C104:D104"/>
    <mergeCell ref="C105:D105"/>
    <mergeCell ref="C106:D106"/>
    <mergeCell ref="C107:D10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9"/>
  <sheetViews>
    <sheetView topLeftCell="A121" workbookViewId="0">
      <selection activeCell="A117" sqref="A117:E118"/>
    </sheetView>
  </sheetViews>
  <sheetFormatPr defaultColWidth="8.85546875" defaultRowHeight="15"/>
  <cols>
    <col min="1" max="1" width="4.7109375" style="44" customWidth="1"/>
    <col min="2" max="5" width="22.7109375" style="44" customWidth="1"/>
    <col min="6" max="16384" width="8.85546875" style="44"/>
  </cols>
  <sheetData>
    <row r="1" spans="1:5">
      <c r="A1" s="242" t="s">
        <v>0</v>
      </c>
      <c r="B1" s="243"/>
      <c r="C1" s="243"/>
      <c r="D1" s="243"/>
      <c r="E1" s="244"/>
    </row>
    <row r="2" spans="1:5" ht="15.75" thickBot="1">
      <c r="A2" s="245"/>
      <c r="B2" s="246"/>
      <c r="C2" s="246"/>
      <c r="D2" s="246"/>
      <c r="E2" s="247"/>
    </row>
    <row r="3" spans="1:5">
      <c r="A3" s="248"/>
      <c r="B3" s="249"/>
      <c r="C3" s="250"/>
      <c r="D3" s="45" t="s">
        <v>1</v>
      </c>
      <c r="E3" s="46" t="s">
        <v>2</v>
      </c>
    </row>
    <row r="4" spans="1:5">
      <c r="A4" s="251" t="s">
        <v>3</v>
      </c>
      <c r="B4" s="252"/>
      <c r="C4" s="253"/>
      <c r="D4" s="254"/>
      <c r="E4" s="255"/>
    </row>
    <row r="5" spans="1:5">
      <c r="A5" s="251" t="s">
        <v>4</v>
      </c>
      <c r="B5" s="252"/>
      <c r="C5" s="253"/>
      <c r="D5" s="256" t="s">
        <v>146</v>
      </c>
      <c r="E5" s="257"/>
    </row>
    <row r="6" spans="1:5">
      <c r="A6" s="47"/>
      <c r="B6" s="234" t="s">
        <v>5</v>
      </c>
      <c r="C6" s="234"/>
      <c r="D6" s="234"/>
      <c r="E6" s="235"/>
    </row>
    <row r="7" spans="1:5">
      <c r="A7" s="212" t="s">
        <v>6</v>
      </c>
      <c r="B7" s="213"/>
      <c r="C7" s="213"/>
      <c r="D7" s="213"/>
      <c r="E7" s="214"/>
    </row>
    <row r="8" spans="1:5" ht="45">
      <c r="A8" s="48" t="s">
        <v>7</v>
      </c>
      <c r="B8" s="49" t="s">
        <v>8</v>
      </c>
      <c r="C8" s="236" t="s">
        <v>147</v>
      </c>
      <c r="D8" s="237"/>
      <c r="E8" s="238"/>
    </row>
    <row r="9" spans="1:5">
      <c r="A9" s="48" t="s">
        <v>9</v>
      </c>
      <c r="B9" s="49" t="s">
        <v>10</v>
      </c>
      <c r="C9" s="239" t="s">
        <v>152</v>
      </c>
      <c r="D9" s="240"/>
      <c r="E9" s="241"/>
    </row>
    <row r="10" spans="1:5" ht="30">
      <c r="A10" s="48" t="s">
        <v>11</v>
      </c>
      <c r="B10" s="49" t="s">
        <v>12</v>
      </c>
      <c r="C10" s="239" t="s">
        <v>13</v>
      </c>
      <c r="D10" s="240"/>
      <c r="E10" s="241"/>
    </row>
    <row r="11" spans="1:5" ht="30">
      <c r="A11" s="48" t="s">
        <v>14</v>
      </c>
      <c r="B11" s="49" t="s">
        <v>15</v>
      </c>
      <c r="C11" s="239" t="s">
        <v>16</v>
      </c>
      <c r="D11" s="240"/>
      <c r="E11" s="241"/>
    </row>
    <row r="12" spans="1:5">
      <c r="A12" s="212" t="s">
        <v>17</v>
      </c>
      <c r="B12" s="213"/>
      <c r="C12" s="213"/>
      <c r="D12" s="213"/>
      <c r="E12" s="214"/>
    </row>
    <row r="13" spans="1:5">
      <c r="A13" s="215" t="s">
        <v>18</v>
      </c>
      <c r="B13" s="216"/>
      <c r="C13" s="50" t="s">
        <v>19</v>
      </c>
      <c r="D13" s="217" t="s">
        <v>20</v>
      </c>
      <c r="E13" s="218"/>
    </row>
    <row r="14" spans="1:5">
      <c r="A14" s="219" t="s">
        <v>151</v>
      </c>
      <c r="B14" s="220"/>
      <c r="C14" s="225" t="s">
        <v>21</v>
      </c>
      <c r="D14" s="228" t="s">
        <v>22</v>
      </c>
      <c r="E14" s="229"/>
    </row>
    <row r="15" spans="1:5">
      <c r="A15" s="221"/>
      <c r="B15" s="222"/>
      <c r="C15" s="226"/>
      <c r="D15" s="230"/>
      <c r="E15" s="231"/>
    </row>
    <row r="16" spans="1:5">
      <c r="A16" s="223"/>
      <c r="B16" s="224"/>
      <c r="C16" s="227"/>
      <c r="D16" s="232"/>
      <c r="E16" s="233"/>
    </row>
    <row r="17" spans="1:5" ht="15.75">
      <c r="A17" s="206" t="s">
        <v>23</v>
      </c>
      <c r="B17" s="207"/>
      <c r="C17" s="207"/>
      <c r="D17" s="207"/>
      <c r="E17" s="208"/>
    </row>
    <row r="18" spans="1:5">
      <c r="A18" s="209" t="s">
        <v>24</v>
      </c>
      <c r="B18" s="210"/>
      <c r="C18" s="210"/>
      <c r="D18" s="210"/>
      <c r="E18" s="211"/>
    </row>
    <row r="19" spans="1:5">
      <c r="A19" s="137" t="s">
        <v>25</v>
      </c>
      <c r="B19" s="138"/>
      <c r="C19" s="138"/>
      <c r="D19" s="139"/>
      <c r="E19" s="98" t="s">
        <v>26</v>
      </c>
    </row>
    <row r="20" spans="1:5">
      <c r="A20" s="48">
        <v>1</v>
      </c>
      <c r="B20" s="201" t="s">
        <v>27</v>
      </c>
      <c r="C20" s="201"/>
      <c r="D20" s="203" t="s">
        <v>169</v>
      </c>
      <c r="E20" s="203"/>
    </row>
    <row r="21" spans="1:5">
      <c r="A21" s="48">
        <v>2</v>
      </c>
      <c r="B21" s="201" t="s">
        <v>28</v>
      </c>
      <c r="C21" s="201"/>
      <c r="D21" s="203" t="s">
        <v>29</v>
      </c>
      <c r="E21" s="203"/>
    </row>
    <row r="22" spans="1:5">
      <c r="A22" s="48">
        <v>3</v>
      </c>
      <c r="B22" s="201" t="s">
        <v>30</v>
      </c>
      <c r="C22" s="201"/>
      <c r="D22" s="202">
        <v>1642.93</v>
      </c>
      <c r="E22" s="202"/>
    </row>
    <row r="23" spans="1:5">
      <c r="A23" s="48">
        <v>4</v>
      </c>
      <c r="B23" s="201" t="s">
        <v>31</v>
      </c>
      <c r="C23" s="201"/>
      <c r="D23" s="203"/>
      <c r="E23" s="203"/>
    </row>
    <row r="24" spans="1:5">
      <c r="A24" s="48">
        <v>5</v>
      </c>
      <c r="B24" s="204" t="s">
        <v>32</v>
      </c>
      <c r="C24" s="204"/>
      <c r="D24" s="205"/>
      <c r="E24" s="205"/>
    </row>
    <row r="25" spans="1:5">
      <c r="A25" s="162" t="s">
        <v>33</v>
      </c>
      <c r="B25" s="163"/>
      <c r="C25" s="163"/>
      <c r="D25" s="164"/>
      <c r="E25" s="5"/>
    </row>
    <row r="26" spans="1:5">
      <c r="A26" s="25">
        <v>1</v>
      </c>
      <c r="B26" s="144" t="s">
        <v>34</v>
      </c>
      <c r="C26" s="145"/>
      <c r="D26" s="51"/>
      <c r="E26" s="98" t="s">
        <v>26</v>
      </c>
    </row>
    <row r="27" spans="1:5">
      <c r="A27" s="52" t="s">
        <v>7</v>
      </c>
      <c r="B27" s="53" t="s">
        <v>36</v>
      </c>
      <c r="C27" s="194"/>
      <c r="D27" s="195"/>
      <c r="E27" s="5">
        <f>D22</f>
        <v>1642.93</v>
      </c>
    </row>
    <row r="28" spans="1:5">
      <c r="A28" s="52" t="s">
        <v>9</v>
      </c>
      <c r="B28" s="53" t="s">
        <v>37</v>
      </c>
      <c r="C28" s="196" t="s">
        <v>38</v>
      </c>
      <c r="D28" s="197"/>
      <c r="E28" s="3">
        <f>TRUNC($E$27*30%,2)</f>
        <v>492.87</v>
      </c>
    </row>
    <row r="29" spans="1:5" ht="39.6" customHeight="1">
      <c r="A29" s="1" t="s">
        <v>14</v>
      </c>
      <c r="B29" s="2" t="s">
        <v>39</v>
      </c>
      <c r="C29" s="128" t="s">
        <v>40</v>
      </c>
      <c r="D29" s="129"/>
      <c r="E29" s="3">
        <f>TRUNC(((8*(7*4.345))*(((E27+E28)/220)*20%)/2),2)</f>
        <v>236.21</v>
      </c>
    </row>
    <row r="30" spans="1:5">
      <c r="A30" s="1" t="s">
        <v>41</v>
      </c>
      <c r="B30" s="2" t="s">
        <v>42</v>
      </c>
      <c r="C30" s="130" t="s">
        <v>43</v>
      </c>
      <c r="D30" s="129"/>
      <c r="E30" s="3">
        <f>TRUNC(((1*(7*4.345))*(((E27+E28)/220))/2),2)</f>
        <v>147.63</v>
      </c>
    </row>
    <row r="31" spans="1:5">
      <c r="A31" s="198" t="s">
        <v>46</v>
      </c>
      <c r="B31" s="199"/>
      <c r="C31" s="199"/>
      <c r="D31" s="200"/>
      <c r="E31" s="5">
        <f>SUM(E27:E30)</f>
        <v>2519.6400000000003</v>
      </c>
    </row>
    <row r="32" spans="1:5">
      <c r="A32" s="159" t="s">
        <v>47</v>
      </c>
      <c r="B32" s="160"/>
      <c r="C32" s="160"/>
      <c r="D32" s="161"/>
      <c r="E32" s="12">
        <f>SUM(E31:E31)</f>
        <v>2519.6400000000003</v>
      </c>
    </row>
    <row r="33" spans="1:5">
      <c r="A33" s="162" t="s">
        <v>48</v>
      </c>
      <c r="B33" s="163"/>
      <c r="C33" s="163"/>
      <c r="D33" s="164"/>
      <c r="E33" s="5"/>
    </row>
    <row r="34" spans="1:5">
      <c r="A34" s="36"/>
      <c r="B34" s="169" t="s">
        <v>49</v>
      </c>
      <c r="C34" s="169"/>
      <c r="D34" s="169"/>
      <c r="E34" s="170"/>
    </row>
    <row r="35" spans="1:5">
      <c r="A35" s="54" t="s">
        <v>50</v>
      </c>
      <c r="B35" s="144" t="s">
        <v>51</v>
      </c>
      <c r="C35" s="145"/>
      <c r="D35" s="6"/>
      <c r="E35" s="98" t="s">
        <v>26</v>
      </c>
    </row>
    <row r="36" spans="1:5">
      <c r="A36" s="6" t="s">
        <v>7</v>
      </c>
      <c r="B36" s="7" t="s">
        <v>52</v>
      </c>
      <c r="C36" s="8"/>
      <c r="D36" s="9">
        <f>1/12</f>
        <v>8.3333333333333329E-2</v>
      </c>
      <c r="E36" s="5">
        <f>TRUNC($E$32*D36,2)</f>
        <v>209.97</v>
      </c>
    </row>
    <row r="37" spans="1:5">
      <c r="A37" s="6" t="s">
        <v>9</v>
      </c>
      <c r="B37" s="7" t="s">
        <v>53</v>
      </c>
      <c r="C37" s="8"/>
      <c r="D37" s="9">
        <f>(((1+1/3)/12))</f>
        <v>0.1111111111111111</v>
      </c>
      <c r="E37" s="5">
        <f>TRUNC($E$32*D37,2)</f>
        <v>279.95999999999998</v>
      </c>
    </row>
    <row r="38" spans="1:5">
      <c r="A38" s="189" t="s">
        <v>46</v>
      </c>
      <c r="B38" s="190"/>
      <c r="C38" s="191"/>
      <c r="D38" s="10">
        <f>SUM(D36:D37)</f>
        <v>0.19444444444444442</v>
      </c>
      <c r="E38" s="5">
        <f>SUM(E36:E37)</f>
        <v>489.92999999999995</v>
      </c>
    </row>
    <row r="39" spans="1:5">
      <c r="A39" s="192" t="s">
        <v>54</v>
      </c>
      <c r="B39" s="192"/>
      <c r="C39" s="192"/>
      <c r="D39" s="192"/>
      <c r="E39" s="5">
        <f>SUM(E38:E38)</f>
        <v>489.92999999999995</v>
      </c>
    </row>
    <row r="40" spans="1:5">
      <c r="A40" s="193" t="s">
        <v>55</v>
      </c>
      <c r="B40" s="193"/>
      <c r="C40" s="193"/>
      <c r="D40" s="85" t="s">
        <v>56</v>
      </c>
      <c r="E40" s="86">
        <f>E32</f>
        <v>2519.6400000000003</v>
      </c>
    </row>
    <row r="41" spans="1:5">
      <c r="A41" s="193"/>
      <c r="B41" s="193"/>
      <c r="C41" s="193"/>
      <c r="D41" s="85" t="s">
        <v>57</v>
      </c>
      <c r="E41" s="87">
        <f>E39</f>
        <v>489.92999999999995</v>
      </c>
    </row>
    <row r="42" spans="1:5">
      <c r="A42" s="193"/>
      <c r="B42" s="193"/>
      <c r="C42" s="193"/>
      <c r="D42" s="96" t="s">
        <v>46</v>
      </c>
      <c r="E42" s="87">
        <f>SUM(E40:E41)</f>
        <v>3009.57</v>
      </c>
    </row>
    <row r="43" spans="1:5">
      <c r="A43" s="55"/>
      <c r="B43" s="187" t="s">
        <v>58</v>
      </c>
      <c r="C43" s="187"/>
      <c r="D43" s="188"/>
      <c r="E43" s="56"/>
    </row>
    <row r="44" spans="1:5">
      <c r="A44" s="25" t="s">
        <v>59</v>
      </c>
      <c r="B44" s="144" t="s">
        <v>60</v>
      </c>
      <c r="C44" s="145"/>
      <c r="D44" s="6"/>
      <c r="E44" s="98" t="s">
        <v>26</v>
      </c>
    </row>
    <row r="45" spans="1:5">
      <c r="A45" s="17" t="s">
        <v>7</v>
      </c>
      <c r="B45" s="185" t="s">
        <v>61</v>
      </c>
      <c r="C45" s="186"/>
      <c r="D45" s="43">
        <v>0.2</v>
      </c>
      <c r="E45" s="5">
        <f>TRUNC($E$42*D45,2)</f>
        <v>601.91</v>
      </c>
    </row>
    <row r="46" spans="1:5">
      <c r="A46" s="17" t="s">
        <v>9</v>
      </c>
      <c r="B46" s="185" t="s">
        <v>62</v>
      </c>
      <c r="C46" s="186"/>
      <c r="D46" s="43">
        <v>2.5000000000000001E-2</v>
      </c>
      <c r="E46" s="5">
        <f>TRUNC($E$42*D46,2)</f>
        <v>75.23</v>
      </c>
    </row>
    <row r="47" spans="1:5">
      <c r="A47" s="112" t="s">
        <v>11</v>
      </c>
      <c r="B47" s="262" t="s">
        <v>153</v>
      </c>
      <c r="C47" s="263"/>
      <c r="D47" s="264">
        <f>3%*1</f>
        <v>0.03</v>
      </c>
      <c r="E47" s="265">
        <f t="shared" ref="E47:E52" si="0">TRUNC($E$42*D47,2)</f>
        <v>90.28</v>
      </c>
    </row>
    <row r="48" spans="1:5">
      <c r="A48" s="17" t="s">
        <v>14</v>
      </c>
      <c r="B48" s="185" t="s">
        <v>63</v>
      </c>
      <c r="C48" s="186"/>
      <c r="D48" s="43">
        <v>1.4999999999999999E-2</v>
      </c>
      <c r="E48" s="5">
        <f t="shared" si="0"/>
        <v>45.14</v>
      </c>
    </row>
    <row r="49" spans="1:5">
      <c r="A49" s="17" t="s">
        <v>41</v>
      </c>
      <c r="B49" s="185" t="s">
        <v>64</v>
      </c>
      <c r="C49" s="186"/>
      <c r="D49" s="43">
        <v>0.01</v>
      </c>
      <c r="E49" s="5">
        <f t="shared" si="0"/>
        <v>30.09</v>
      </c>
    </row>
    <row r="50" spans="1:5">
      <c r="A50" s="17" t="s">
        <v>44</v>
      </c>
      <c r="B50" s="173" t="s">
        <v>65</v>
      </c>
      <c r="C50" s="173"/>
      <c r="D50" s="43">
        <v>6.0000000000000001E-3</v>
      </c>
      <c r="E50" s="5">
        <f>TRUNC($E$42*D50,2)</f>
        <v>18.05</v>
      </c>
    </row>
    <row r="51" spans="1:5">
      <c r="A51" s="17" t="s">
        <v>45</v>
      </c>
      <c r="B51" s="185" t="s">
        <v>66</v>
      </c>
      <c r="C51" s="186"/>
      <c r="D51" s="43">
        <v>2E-3</v>
      </c>
      <c r="E51" s="5">
        <f t="shared" si="0"/>
        <v>6.01</v>
      </c>
    </row>
    <row r="52" spans="1:5">
      <c r="A52" s="17" t="s">
        <v>67</v>
      </c>
      <c r="B52" s="185" t="s">
        <v>68</v>
      </c>
      <c r="C52" s="186"/>
      <c r="D52" s="43">
        <v>0.08</v>
      </c>
      <c r="E52" s="5">
        <f t="shared" si="0"/>
        <v>240.76</v>
      </c>
    </row>
    <row r="53" spans="1:5">
      <c r="A53" s="134" t="s">
        <v>46</v>
      </c>
      <c r="B53" s="135"/>
      <c r="C53" s="136"/>
      <c r="D53" s="21">
        <f>SUM(D45:D52)</f>
        <v>0.36800000000000005</v>
      </c>
      <c r="E53" s="12">
        <f>SUM(E45:E52)</f>
        <v>1107.4699999999998</v>
      </c>
    </row>
    <row r="54" spans="1:5">
      <c r="A54" s="36"/>
      <c r="B54" s="169" t="s">
        <v>69</v>
      </c>
      <c r="C54" s="169"/>
      <c r="D54" s="169"/>
      <c r="E54" s="170"/>
    </row>
    <row r="55" spans="1:5">
      <c r="A55" s="25" t="s">
        <v>70</v>
      </c>
      <c r="B55" s="144" t="s">
        <v>71</v>
      </c>
      <c r="C55" s="145"/>
      <c r="D55" s="6"/>
      <c r="E55" s="98" t="s">
        <v>26</v>
      </c>
    </row>
    <row r="56" spans="1:5">
      <c r="A56" s="112" t="s">
        <v>7</v>
      </c>
      <c r="B56" s="183" t="s">
        <v>72</v>
      </c>
      <c r="C56" s="184"/>
      <c r="D56" s="113"/>
      <c r="E56" s="280">
        <f>TRUNC((((7*4.345)/2)*(3.7*2))-($E$27*6%),2)</f>
        <v>13.95</v>
      </c>
    </row>
    <row r="57" spans="1:5">
      <c r="A57" s="17" t="s">
        <v>9</v>
      </c>
      <c r="B57" s="116" t="s">
        <v>73</v>
      </c>
      <c r="C57" s="118"/>
      <c r="D57" s="57" t="s">
        <v>74</v>
      </c>
      <c r="E57" s="14">
        <f>TRUNC((7*4.345)*(18*0.9)/2,2)</f>
        <v>246.36</v>
      </c>
    </row>
    <row r="58" spans="1:5">
      <c r="A58" s="17" t="s">
        <v>11</v>
      </c>
      <c r="B58" s="116" t="s">
        <v>75</v>
      </c>
      <c r="C58" s="118"/>
      <c r="D58" s="57"/>
      <c r="E58" s="5">
        <v>93.36</v>
      </c>
    </row>
    <row r="59" spans="1:5">
      <c r="A59" s="112" t="s">
        <v>14</v>
      </c>
      <c r="B59" s="183" t="s">
        <v>76</v>
      </c>
      <c r="C59" s="184"/>
      <c r="D59" s="266"/>
      <c r="E59" s="265">
        <v>10.85</v>
      </c>
    </row>
    <row r="60" spans="1:5">
      <c r="A60" s="17" t="s">
        <v>41</v>
      </c>
      <c r="B60" s="116" t="s">
        <v>77</v>
      </c>
      <c r="C60" s="118"/>
      <c r="D60" s="57"/>
      <c r="E60" s="5">
        <v>0</v>
      </c>
    </row>
    <row r="61" spans="1:5">
      <c r="A61" s="17" t="s">
        <v>44</v>
      </c>
      <c r="B61" s="116" t="s">
        <v>77</v>
      </c>
      <c r="C61" s="118"/>
      <c r="D61" s="58"/>
      <c r="E61" s="5">
        <v>0</v>
      </c>
    </row>
    <row r="62" spans="1:5">
      <c r="A62" s="177" t="s">
        <v>78</v>
      </c>
      <c r="B62" s="178"/>
      <c r="C62" s="178"/>
      <c r="D62" s="179"/>
      <c r="E62" s="12">
        <f>SUM(E56:E61)</f>
        <v>364.52000000000004</v>
      </c>
    </row>
    <row r="63" spans="1:5">
      <c r="A63" s="155" t="s">
        <v>79</v>
      </c>
      <c r="B63" s="156"/>
      <c r="C63" s="156"/>
      <c r="D63" s="156"/>
      <c r="E63" s="157"/>
    </row>
    <row r="64" spans="1:5">
      <c r="A64" s="26">
        <v>2</v>
      </c>
      <c r="B64" s="144" t="s">
        <v>80</v>
      </c>
      <c r="C64" s="158"/>
      <c r="D64" s="145"/>
      <c r="E64" s="27" t="s">
        <v>26</v>
      </c>
    </row>
    <row r="65" spans="1:5" ht="30">
      <c r="A65" s="99" t="s">
        <v>50</v>
      </c>
      <c r="B65" s="29" t="s">
        <v>51</v>
      </c>
      <c r="C65" s="30"/>
      <c r="D65" s="31"/>
      <c r="E65" s="5">
        <f>E39</f>
        <v>489.92999999999995</v>
      </c>
    </row>
    <row r="66" spans="1:5" ht="30">
      <c r="A66" s="99" t="s">
        <v>59</v>
      </c>
      <c r="B66" s="29" t="s">
        <v>60</v>
      </c>
      <c r="C66" s="30"/>
      <c r="D66" s="31"/>
      <c r="E66" s="5">
        <f>E53</f>
        <v>1107.4699999999998</v>
      </c>
    </row>
    <row r="67" spans="1:5" ht="30">
      <c r="A67" s="99" t="s">
        <v>70</v>
      </c>
      <c r="B67" s="29" t="s">
        <v>71</v>
      </c>
      <c r="C67" s="30"/>
      <c r="D67" s="31"/>
      <c r="E67" s="5">
        <f>E62</f>
        <v>364.52000000000004</v>
      </c>
    </row>
    <row r="68" spans="1:5">
      <c r="A68" s="22"/>
      <c r="B68" s="23"/>
      <c r="C68" s="23"/>
      <c r="D68" s="24" t="s">
        <v>46</v>
      </c>
      <c r="E68" s="12">
        <f>SUM(E65:E67)</f>
        <v>1961.9199999999996</v>
      </c>
    </row>
    <row r="69" spans="1:5">
      <c r="A69" s="180" t="s">
        <v>81</v>
      </c>
      <c r="B69" s="180"/>
      <c r="C69" s="180"/>
      <c r="D69" s="180"/>
      <c r="E69" s="180"/>
    </row>
    <row r="70" spans="1:5">
      <c r="A70" s="25">
        <v>3</v>
      </c>
      <c r="B70" s="137" t="s">
        <v>82</v>
      </c>
      <c r="C70" s="181"/>
      <c r="D70" s="182"/>
      <c r="E70" s="59" t="s">
        <v>26</v>
      </c>
    </row>
    <row r="71" spans="1:5">
      <c r="A71" s="60" t="s">
        <v>7</v>
      </c>
      <c r="B71" s="171" t="s">
        <v>83</v>
      </c>
      <c r="C71" s="172"/>
      <c r="D71" s="40">
        <f>((1/12)*0.03)</f>
        <v>2.4999999999999996E-3</v>
      </c>
      <c r="E71" s="5">
        <f>TRUNC(+$E$32*D71,2)</f>
        <v>6.29</v>
      </c>
    </row>
    <row r="72" spans="1:5">
      <c r="A72" s="60" t="s">
        <v>9</v>
      </c>
      <c r="B72" s="171" t="s">
        <v>84</v>
      </c>
      <c r="C72" s="172"/>
      <c r="D72" s="40">
        <f>+D52</f>
        <v>0.08</v>
      </c>
      <c r="E72" s="5">
        <f>TRUNC(+E71*D72,2)</f>
        <v>0.5</v>
      </c>
    </row>
    <row r="73" spans="1:5" ht="31.9" customHeight="1">
      <c r="A73" s="60" t="s">
        <v>11</v>
      </c>
      <c r="B73" s="171" t="s">
        <v>85</v>
      </c>
      <c r="C73" s="172"/>
      <c r="D73" s="40">
        <f>(0.08*0.5*0.03)</f>
        <v>1.1999999999999999E-3</v>
      </c>
      <c r="E73" s="5">
        <f>ROUND(+$E$32*D73,2)</f>
        <v>3.02</v>
      </c>
    </row>
    <row r="74" spans="1:5">
      <c r="A74" s="88" t="s">
        <v>14</v>
      </c>
      <c r="B74" s="173" t="s">
        <v>86</v>
      </c>
      <c r="C74" s="173"/>
      <c r="D74" s="77">
        <f>((7/30)/12)*0.97</f>
        <v>1.886111111111111E-2</v>
      </c>
      <c r="E74" s="5">
        <f>TRUNC(+D74*$E$32,2)</f>
        <v>47.52</v>
      </c>
    </row>
    <row r="75" spans="1:5">
      <c r="A75" s="60" t="s">
        <v>41</v>
      </c>
      <c r="B75" s="174" t="s">
        <v>87</v>
      </c>
      <c r="C75" s="174"/>
      <c r="D75" s="40">
        <f>+D53</f>
        <v>0.36800000000000005</v>
      </c>
      <c r="E75" s="5">
        <f>TRUNC(+E74*D75,2)</f>
        <v>17.48</v>
      </c>
    </row>
    <row r="76" spans="1:5">
      <c r="A76" s="89" t="s">
        <v>44</v>
      </c>
      <c r="B76" s="175" t="s">
        <v>88</v>
      </c>
      <c r="C76" s="176"/>
      <c r="D76" s="90">
        <f>(0.08*0.5)*0.97</f>
        <v>3.8800000000000001E-2</v>
      </c>
      <c r="E76" s="5">
        <f>TRUNC(+E32*D76,E348)</f>
        <v>97</v>
      </c>
    </row>
    <row r="77" spans="1:5">
      <c r="A77" s="165" t="s">
        <v>46</v>
      </c>
      <c r="B77" s="166"/>
      <c r="C77" s="166"/>
      <c r="D77" s="167"/>
      <c r="E77" s="16">
        <f>SUM(E71:E76)</f>
        <v>171.81</v>
      </c>
    </row>
    <row r="78" spans="1:5">
      <c r="A78" s="140" t="s">
        <v>89</v>
      </c>
      <c r="B78" s="140"/>
      <c r="C78" s="140"/>
      <c r="D78" s="92" t="s">
        <v>56</v>
      </c>
      <c r="E78" s="93">
        <f>E32</f>
        <v>2519.6400000000003</v>
      </c>
    </row>
    <row r="79" spans="1:5">
      <c r="A79" s="140"/>
      <c r="B79" s="140"/>
      <c r="C79" s="140"/>
      <c r="D79" s="92" t="s">
        <v>90</v>
      </c>
      <c r="E79" s="93">
        <f>E68</f>
        <v>1961.9199999999996</v>
      </c>
    </row>
    <row r="80" spans="1:5">
      <c r="A80" s="140"/>
      <c r="B80" s="140"/>
      <c r="C80" s="140"/>
      <c r="D80" s="92" t="s">
        <v>91</v>
      </c>
      <c r="E80" s="93">
        <f>E77</f>
        <v>171.81</v>
      </c>
    </row>
    <row r="81" spans="1:5">
      <c r="A81" s="140"/>
      <c r="B81" s="140"/>
      <c r="C81" s="140"/>
      <c r="D81" s="95" t="s">
        <v>78</v>
      </c>
      <c r="E81" s="94">
        <f>SUM(E78:E80)</f>
        <v>4653.37</v>
      </c>
    </row>
    <row r="82" spans="1:5">
      <c r="A82" s="141" t="s">
        <v>92</v>
      </c>
      <c r="B82" s="142"/>
      <c r="C82" s="142"/>
      <c r="D82" s="143"/>
      <c r="E82" s="91" t="s">
        <v>35</v>
      </c>
    </row>
    <row r="83" spans="1:5">
      <c r="A83" s="168" t="s">
        <v>93</v>
      </c>
      <c r="B83" s="169"/>
      <c r="C83" s="169"/>
      <c r="D83" s="169"/>
      <c r="E83" s="170"/>
    </row>
    <row r="84" spans="1:5">
      <c r="A84" s="34" t="s">
        <v>94</v>
      </c>
      <c r="B84" s="36" t="s">
        <v>95</v>
      </c>
      <c r="C84" s="37"/>
      <c r="D84" s="6"/>
      <c r="E84" s="35" t="s">
        <v>26</v>
      </c>
    </row>
    <row r="85" spans="1:5" ht="16.5">
      <c r="A85" s="17" t="s">
        <v>7</v>
      </c>
      <c r="B85" s="38" t="s">
        <v>96</v>
      </c>
      <c r="C85" s="39"/>
      <c r="D85" s="40">
        <f>(( 1+1/3)/12)/12</f>
        <v>9.2592592592592587E-3</v>
      </c>
      <c r="E85" s="5">
        <f>TRUNC(+D85*$E$81,2)</f>
        <v>43.08</v>
      </c>
    </row>
    <row r="86" spans="1:5" ht="16.5">
      <c r="A86" s="17" t="s">
        <v>9</v>
      </c>
      <c r="B86" t="s">
        <v>97</v>
      </c>
      <c r="C86" s="39"/>
      <c r="D86" s="40">
        <f>((2/30)/12)</f>
        <v>5.5555555555555558E-3</v>
      </c>
      <c r="E86" s="5">
        <f>TRUNC(+D86*$E$81,2)</f>
        <v>25.85</v>
      </c>
    </row>
    <row r="87" spans="1:5" ht="16.5">
      <c r="A87" s="17" t="s">
        <v>11</v>
      </c>
      <c r="B87" s="38" t="s">
        <v>98</v>
      </c>
      <c r="C87" s="39"/>
      <c r="D87" s="40">
        <f>((5/30)/12)*0.02</f>
        <v>2.7777777777777778E-4</v>
      </c>
      <c r="E87" s="5">
        <f t="shared" ref="E87:E90" si="1">TRUNC(+D87*$E$81,2)</f>
        <v>1.29</v>
      </c>
    </row>
    <row r="88" spans="1:5" ht="30">
      <c r="A88" s="17" t="s">
        <v>14</v>
      </c>
      <c r="B88" s="38" t="s">
        <v>99</v>
      </c>
      <c r="C88" s="39"/>
      <c r="D88" s="40">
        <f>((15/30)/12)*0.02</f>
        <v>8.3333333333333328E-4</v>
      </c>
      <c r="E88" s="5">
        <f>TRUNC(+D88*$E$81,2)</f>
        <v>3.87</v>
      </c>
    </row>
    <row r="89" spans="1:5" ht="30">
      <c r="A89" s="17" t="s">
        <v>41</v>
      </c>
      <c r="B89" s="38" t="s">
        <v>100</v>
      </c>
      <c r="C89" s="39"/>
      <c r="D89" s="18">
        <f>((1+1/3)/12)*0.01*((4/12))</f>
        <v>3.7037037037037035E-4</v>
      </c>
      <c r="E89" s="5">
        <f t="shared" si="1"/>
        <v>1.72</v>
      </c>
    </row>
    <row r="90" spans="1:5">
      <c r="A90" s="17" t="s">
        <v>44</v>
      </c>
      <c r="B90" s="41" t="s">
        <v>101</v>
      </c>
      <c r="C90" s="42"/>
      <c r="D90" s="43">
        <v>0</v>
      </c>
      <c r="E90" s="5">
        <f t="shared" si="1"/>
        <v>0</v>
      </c>
    </row>
    <row r="91" spans="1:5">
      <c r="A91" s="134" t="s">
        <v>46</v>
      </c>
      <c r="B91" s="135"/>
      <c r="C91" s="136"/>
      <c r="D91" s="19"/>
      <c r="E91" s="12">
        <f>SUM(E85:E90)</f>
        <v>75.810000000000016</v>
      </c>
    </row>
    <row r="92" spans="1:5">
      <c r="A92" s="116" t="s">
        <v>102</v>
      </c>
      <c r="B92" s="117"/>
      <c r="C92" s="117"/>
      <c r="D92" s="117"/>
      <c r="E92" s="118"/>
    </row>
    <row r="93" spans="1:5">
      <c r="A93" s="61" t="s">
        <v>103</v>
      </c>
      <c r="B93" s="36" t="s">
        <v>104</v>
      </c>
      <c r="C93" s="37"/>
      <c r="D93" s="6"/>
      <c r="E93" s="35" t="s">
        <v>26</v>
      </c>
    </row>
    <row r="94" spans="1:5">
      <c r="A94" s="17" t="s">
        <v>7</v>
      </c>
      <c r="B94" s="153" t="s">
        <v>105</v>
      </c>
      <c r="C94" s="154"/>
      <c r="D94" s="43"/>
      <c r="E94" s="4">
        <f>TRUNC(((E81)/220)*(1*(7*4.345))/2,2)</f>
        <v>321.66000000000003</v>
      </c>
    </row>
    <row r="95" spans="1:5">
      <c r="A95" s="134" t="s">
        <v>46</v>
      </c>
      <c r="B95" s="135"/>
      <c r="C95" s="136"/>
      <c r="D95" s="19"/>
      <c r="E95" s="12">
        <f>SUM(E94)</f>
        <v>321.66000000000003</v>
      </c>
    </row>
    <row r="96" spans="1:5">
      <c r="A96" s="155" t="s">
        <v>106</v>
      </c>
      <c r="B96" s="156"/>
      <c r="C96" s="156"/>
      <c r="D96" s="156"/>
      <c r="E96" s="157"/>
    </row>
    <row r="97" spans="1:5">
      <c r="A97" s="26">
        <v>4</v>
      </c>
      <c r="B97" s="144" t="s">
        <v>107</v>
      </c>
      <c r="C97" s="158"/>
      <c r="D97" s="145"/>
      <c r="E97" s="27" t="s">
        <v>26</v>
      </c>
    </row>
    <row r="98" spans="1:5">
      <c r="A98" s="26" t="s">
        <v>94</v>
      </c>
      <c r="B98" s="29" t="s">
        <v>95</v>
      </c>
      <c r="C98" s="30"/>
      <c r="D98" s="31"/>
      <c r="E98" s="5">
        <f>+E91</f>
        <v>75.810000000000016</v>
      </c>
    </row>
    <row r="99" spans="1:5">
      <c r="A99" s="26" t="s">
        <v>103</v>
      </c>
      <c r="B99" s="29" t="s">
        <v>104</v>
      </c>
      <c r="C99" s="30"/>
      <c r="D99" s="31"/>
      <c r="E99" s="5">
        <f>+E95</f>
        <v>321.66000000000003</v>
      </c>
    </row>
    <row r="100" spans="1:5">
      <c r="A100" s="32"/>
      <c r="B100" s="30"/>
      <c r="C100" s="30"/>
      <c r="D100" s="33" t="s">
        <v>46</v>
      </c>
      <c r="E100" s="5">
        <f>SUM(E98:E99)</f>
        <v>397.47</v>
      </c>
    </row>
    <row r="101" spans="1:5">
      <c r="A101" s="159" t="s">
        <v>108</v>
      </c>
      <c r="B101" s="160"/>
      <c r="C101" s="160"/>
      <c r="D101" s="161"/>
      <c r="E101" s="12">
        <f>SUM(E100:E100)</f>
        <v>397.47</v>
      </c>
    </row>
    <row r="102" spans="1:5">
      <c r="A102" s="162" t="s">
        <v>109</v>
      </c>
      <c r="B102" s="163"/>
      <c r="C102" s="163"/>
      <c r="D102" s="164"/>
      <c r="E102" s="5"/>
    </row>
    <row r="103" spans="1:5">
      <c r="A103" s="34">
        <v>5</v>
      </c>
      <c r="B103" s="144" t="s">
        <v>110</v>
      </c>
      <c r="C103" s="145"/>
      <c r="D103" s="6"/>
      <c r="E103" s="35" t="s">
        <v>26</v>
      </c>
    </row>
    <row r="104" spans="1:5">
      <c r="A104" s="112" t="s">
        <v>7</v>
      </c>
      <c r="B104" s="267" t="s">
        <v>111</v>
      </c>
      <c r="C104" s="268"/>
      <c r="D104" s="269"/>
      <c r="E104" s="265">
        <v>38.729999999999997</v>
      </c>
    </row>
    <row r="105" spans="1:5">
      <c r="A105" s="112" t="s">
        <v>9</v>
      </c>
      <c r="B105" s="270" t="s">
        <v>112</v>
      </c>
      <c r="C105" s="271" t="s">
        <v>150</v>
      </c>
      <c r="D105" s="272"/>
      <c r="E105" s="273">
        <v>0</v>
      </c>
    </row>
    <row r="106" spans="1:5">
      <c r="A106" s="112" t="s">
        <v>11</v>
      </c>
      <c r="B106" s="274" t="s">
        <v>113</v>
      </c>
      <c r="C106" s="268" t="s">
        <v>149</v>
      </c>
      <c r="D106" s="269"/>
      <c r="E106" s="273">
        <v>20.100000000000001</v>
      </c>
    </row>
    <row r="107" spans="1:5">
      <c r="A107" s="17" t="s">
        <v>14</v>
      </c>
      <c r="B107" s="38" t="s">
        <v>77</v>
      </c>
      <c r="C107" s="148"/>
      <c r="D107" s="149"/>
      <c r="E107" s="5">
        <v>0</v>
      </c>
    </row>
    <row r="108" spans="1:5">
      <c r="A108" s="150" t="s">
        <v>114</v>
      </c>
      <c r="B108" s="151"/>
      <c r="C108" s="151"/>
      <c r="D108" s="152"/>
      <c r="E108" s="16">
        <f>SUM(E104:E107)</f>
        <v>58.83</v>
      </c>
    </row>
    <row r="109" spans="1:5">
      <c r="A109" s="140" t="s">
        <v>115</v>
      </c>
      <c r="B109" s="140"/>
      <c r="C109" s="140"/>
      <c r="D109" s="92" t="s">
        <v>56</v>
      </c>
      <c r="E109" s="93">
        <f>E32</f>
        <v>2519.6400000000003</v>
      </c>
    </row>
    <row r="110" spans="1:5">
      <c r="A110" s="140"/>
      <c r="B110" s="140"/>
      <c r="C110" s="140"/>
      <c r="D110" s="92" t="s">
        <v>90</v>
      </c>
      <c r="E110" s="93">
        <f>E68</f>
        <v>1961.9199999999996</v>
      </c>
    </row>
    <row r="111" spans="1:5">
      <c r="A111" s="140"/>
      <c r="B111" s="140"/>
      <c r="C111" s="140"/>
      <c r="D111" s="92" t="s">
        <v>91</v>
      </c>
      <c r="E111" s="93">
        <f>E77</f>
        <v>171.81</v>
      </c>
    </row>
    <row r="112" spans="1:5">
      <c r="A112" s="140"/>
      <c r="B112" s="140"/>
      <c r="C112" s="140"/>
      <c r="D112" s="92" t="s">
        <v>116</v>
      </c>
      <c r="E112" s="93">
        <f>E101</f>
        <v>397.47</v>
      </c>
    </row>
    <row r="113" spans="1:5">
      <c r="A113" s="140"/>
      <c r="B113" s="140"/>
      <c r="C113" s="140"/>
      <c r="D113" s="92" t="s">
        <v>117</v>
      </c>
      <c r="E113" s="93">
        <f>E108</f>
        <v>58.83</v>
      </c>
    </row>
    <row r="114" spans="1:5">
      <c r="A114" s="140"/>
      <c r="B114" s="140"/>
      <c r="C114" s="140"/>
      <c r="D114" s="95" t="s">
        <v>78</v>
      </c>
      <c r="E114" s="94">
        <f>SUM(E109:E113)</f>
        <v>5109.67</v>
      </c>
    </row>
    <row r="115" spans="1:5">
      <c r="A115" s="141" t="s">
        <v>118</v>
      </c>
      <c r="B115" s="142"/>
      <c r="C115" s="142" t="s">
        <v>119</v>
      </c>
      <c r="D115" s="143" t="s">
        <v>120</v>
      </c>
      <c r="E115" s="80"/>
    </row>
    <row r="116" spans="1:5">
      <c r="A116" s="25">
        <v>6</v>
      </c>
      <c r="B116" s="144" t="s">
        <v>121</v>
      </c>
      <c r="C116" s="145"/>
      <c r="D116" s="6"/>
      <c r="E116" s="98" t="s">
        <v>26</v>
      </c>
    </row>
    <row r="117" spans="1:5">
      <c r="A117" s="275" t="s">
        <v>7</v>
      </c>
      <c r="B117" s="267" t="s">
        <v>122</v>
      </c>
      <c r="C117" s="276">
        <v>0.06</v>
      </c>
      <c r="D117" s="277"/>
      <c r="E117" s="265">
        <f>TRUNC(+E114*C117,2)</f>
        <v>306.58</v>
      </c>
    </row>
    <row r="118" spans="1:5" ht="15.75" thickBot="1">
      <c r="A118" s="275" t="s">
        <v>9</v>
      </c>
      <c r="B118" s="267" t="s">
        <v>123</v>
      </c>
      <c r="C118" s="278">
        <v>6.7900000000000002E-2</v>
      </c>
      <c r="D118" s="279"/>
      <c r="E118" s="265">
        <f>TRUNC(C118*(+E114+E117),2)</f>
        <v>367.76</v>
      </c>
    </row>
    <row r="119" spans="1:5" ht="30.75" thickBot="1">
      <c r="A119" s="62"/>
      <c r="B119" s="63" t="s">
        <v>168</v>
      </c>
      <c r="C119" s="146" t="s">
        <v>125</v>
      </c>
      <c r="D119" s="147"/>
      <c r="E119" s="64">
        <f>E114+E117+E118</f>
        <v>5784.01</v>
      </c>
    </row>
    <row r="120" spans="1:5" ht="15.75" thickBot="1">
      <c r="A120" s="65" t="s">
        <v>11</v>
      </c>
      <c r="B120" s="66" t="s">
        <v>126</v>
      </c>
      <c r="C120" s="67">
        <f>(D127*100)</f>
        <v>5.6499999999999995</v>
      </c>
      <c r="D120" s="68">
        <f>+(100-C120)/100</f>
        <v>0.94349999999999989</v>
      </c>
      <c r="E120" s="69">
        <f>TRUNC(E119/D120,2)</f>
        <v>6130.37</v>
      </c>
    </row>
    <row r="121" spans="1:5">
      <c r="A121" s="70"/>
      <c r="B121" s="71" t="s">
        <v>127</v>
      </c>
      <c r="C121" s="72"/>
      <c r="D121" s="73"/>
      <c r="E121" s="5"/>
    </row>
    <row r="122" spans="1:5">
      <c r="A122" s="70"/>
      <c r="B122" s="74" t="s">
        <v>128</v>
      </c>
      <c r="C122" s="42"/>
      <c r="D122" s="40">
        <v>6.4999999999999997E-3</v>
      </c>
      <c r="E122" s="5">
        <f>TRUNC(+E120*D122,2)</f>
        <v>39.840000000000003</v>
      </c>
    </row>
    <row r="123" spans="1:5">
      <c r="A123" s="70"/>
      <c r="B123" s="74" t="s">
        <v>129</v>
      </c>
      <c r="C123" s="42"/>
      <c r="D123" s="40">
        <v>0.03</v>
      </c>
      <c r="E123" s="5">
        <f>TRUNC(+E120*D123,2)</f>
        <v>183.91</v>
      </c>
    </row>
    <row r="124" spans="1:5">
      <c r="A124" s="70"/>
      <c r="B124" s="36" t="s">
        <v>130</v>
      </c>
      <c r="C124" s="75"/>
      <c r="D124" s="13"/>
      <c r="E124" s="5"/>
    </row>
    <row r="125" spans="1:5">
      <c r="A125" s="70"/>
      <c r="B125" s="36" t="s">
        <v>131</v>
      </c>
      <c r="C125" s="75"/>
      <c r="D125" s="75"/>
      <c r="E125" s="5"/>
    </row>
    <row r="126" spans="1:5">
      <c r="A126" s="70"/>
      <c r="B126" s="76" t="s">
        <v>132</v>
      </c>
      <c r="C126" s="42"/>
      <c r="D126" s="77">
        <v>0.02</v>
      </c>
      <c r="E126" s="11">
        <f>TRUNC(+E120*D126,2)</f>
        <v>122.6</v>
      </c>
    </row>
    <row r="127" spans="1:5">
      <c r="A127" s="78"/>
      <c r="B127" s="13" t="s">
        <v>133</v>
      </c>
      <c r="C127" s="13"/>
      <c r="D127" s="79">
        <f>SUM(D122:D126)</f>
        <v>5.6499999999999995E-2</v>
      </c>
      <c r="E127" s="5">
        <f>SUM(E122:E126)</f>
        <v>346.35</v>
      </c>
    </row>
    <row r="128" spans="1:5">
      <c r="A128" s="131" t="s">
        <v>134</v>
      </c>
      <c r="B128" s="132"/>
      <c r="C128" s="132"/>
      <c r="D128" s="133"/>
      <c r="E128" s="20">
        <f>E117+E118+E127</f>
        <v>1020.6899999999999</v>
      </c>
    </row>
    <row r="129" spans="1:5">
      <c r="A129" s="134" t="s">
        <v>135</v>
      </c>
      <c r="B129" s="135"/>
      <c r="C129" s="135"/>
      <c r="D129" s="136"/>
      <c r="E129" s="12">
        <f>SUM(E128:E128)</f>
        <v>1020.6899999999999</v>
      </c>
    </row>
    <row r="130" spans="1:5">
      <c r="A130" s="137" t="s">
        <v>136</v>
      </c>
      <c r="B130" s="138"/>
      <c r="C130" s="138"/>
      <c r="D130" s="138"/>
      <c r="E130" s="139"/>
    </row>
    <row r="131" spans="1:5">
      <c r="A131" s="137" t="s">
        <v>137</v>
      </c>
      <c r="B131" s="138"/>
      <c r="C131" s="138"/>
      <c r="D131" s="139"/>
      <c r="E131" s="98" t="s">
        <v>26</v>
      </c>
    </row>
    <row r="132" spans="1:5">
      <c r="A132" s="26" t="s">
        <v>7</v>
      </c>
      <c r="B132" s="116" t="s">
        <v>138</v>
      </c>
      <c r="C132" s="117"/>
      <c r="D132" s="118"/>
      <c r="E132" s="5">
        <f>E32</f>
        <v>2519.6400000000003</v>
      </c>
    </row>
    <row r="133" spans="1:5">
      <c r="A133" s="26" t="s">
        <v>9</v>
      </c>
      <c r="B133" s="116" t="s">
        <v>139</v>
      </c>
      <c r="C133" s="117"/>
      <c r="D133" s="118"/>
      <c r="E133" s="5">
        <f>+E68</f>
        <v>1961.9199999999996</v>
      </c>
    </row>
    <row r="134" spans="1:5">
      <c r="A134" s="26" t="s">
        <v>11</v>
      </c>
      <c r="B134" s="116" t="s">
        <v>140</v>
      </c>
      <c r="C134" s="117"/>
      <c r="D134" s="118"/>
      <c r="E134" s="5">
        <f>+E77</f>
        <v>171.81</v>
      </c>
    </row>
    <row r="135" spans="1:5">
      <c r="A135" s="26" t="s">
        <v>14</v>
      </c>
      <c r="B135" s="116" t="s">
        <v>141</v>
      </c>
      <c r="C135" s="117"/>
      <c r="D135" s="118"/>
      <c r="E135" s="5">
        <f>+E101</f>
        <v>397.47</v>
      </c>
    </row>
    <row r="136" spans="1:5" ht="30">
      <c r="A136" s="26" t="s">
        <v>41</v>
      </c>
      <c r="B136" s="63" t="s">
        <v>142</v>
      </c>
      <c r="C136" s="81"/>
      <c r="D136" s="82"/>
      <c r="E136" s="5">
        <f>+E108</f>
        <v>58.83</v>
      </c>
    </row>
    <row r="137" spans="1:5" s="84" customFormat="1">
      <c r="A137" s="119" t="s">
        <v>143</v>
      </c>
      <c r="B137" s="120"/>
      <c r="C137" s="121"/>
      <c r="D137" s="40"/>
      <c r="E137" s="5">
        <f>SUM(E132:E136)</f>
        <v>5109.67</v>
      </c>
    </row>
    <row r="138" spans="1:5" ht="15.75" thickBot="1">
      <c r="A138" s="83" t="s">
        <v>44</v>
      </c>
      <c r="B138" s="122" t="s">
        <v>144</v>
      </c>
      <c r="C138" s="123"/>
      <c r="D138" s="124"/>
      <c r="E138" s="11">
        <f>E129</f>
        <v>1020.6899999999999</v>
      </c>
    </row>
    <row r="139" spans="1:5" ht="15.75" thickBot="1">
      <c r="A139" s="125" t="s">
        <v>145</v>
      </c>
      <c r="B139" s="126"/>
      <c r="C139" s="126"/>
      <c r="D139" s="127"/>
      <c r="E139" s="97">
        <f>+E137+E138</f>
        <v>6130.36</v>
      </c>
    </row>
  </sheetData>
  <mergeCells count="110">
    <mergeCell ref="B6:E6"/>
    <mergeCell ref="A7:E7"/>
    <mergeCell ref="C8:E8"/>
    <mergeCell ref="C9:E9"/>
    <mergeCell ref="C10:E10"/>
    <mergeCell ref="C11:E11"/>
    <mergeCell ref="A1:E2"/>
    <mergeCell ref="A3:C3"/>
    <mergeCell ref="A4:C4"/>
    <mergeCell ref="D4:E4"/>
    <mergeCell ref="A5:C5"/>
    <mergeCell ref="D5:E5"/>
    <mergeCell ref="A17:E17"/>
    <mergeCell ref="A18:E18"/>
    <mergeCell ref="A19:D19"/>
    <mergeCell ref="B20:C20"/>
    <mergeCell ref="D20:E20"/>
    <mergeCell ref="B21:C21"/>
    <mergeCell ref="D21:E21"/>
    <mergeCell ref="A12:E12"/>
    <mergeCell ref="A13:B13"/>
    <mergeCell ref="D13:E13"/>
    <mergeCell ref="A14:B16"/>
    <mergeCell ref="C14:C16"/>
    <mergeCell ref="D14:E16"/>
    <mergeCell ref="A25:D25"/>
    <mergeCell ref="B26:C26"/>
    <mergeCell ref="C27:D27"/>
    <mergeCell ref="C28:D28"/>
    <mergeCell ref="C29:D29"/>
    <mergeCell ref="C30:D30"/>
    <mergeCell ref="B22:C22"/>
    <mergeCell ref="D22:E22"/>
    <mergeCell ref="B23:C23"/>
    <mergeCell ref="D23:E23"/>
    <mergeCell ref="B24:C24"/>
    <mergeCell ref="D24:E24"/>
    <mergeCell ref="A39:D39"/>
    <mergeCell ref="A40:C42"/>
    <mergeCell ref="B43:D43"/>
    <mergeCell ref="B44:C44"/>
    <mergeCell ref="B45:C45"/>
    <mergeCell ref="B46:C46"/>
    <mergeCell ref="A31:D31"/>
    <mergeCell ref="A32:D32"/>
    <mergeCell ref="A33:D33"/>
    <mergeCell ref="B34:E34"/>
    <mergeCell ref="B35:C35"/>
    <mergeCell ref="A38:C38"/>
    <mergeCell ref="A53:C53"/>
    <mergeCell ref="B54:E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A69:E69"/>
    <mergeCell ref="B70:D70"/>
    <mergeCell ref="B71:C71"/>
    <mergeCell ref="B72:C72"/>
    <mergeCell ref="B73:C73"/>
    <mergeCell ref="B74:C74"/>
    <mergeCell ref="B59:C59"/>
    <mergeCell ref="B60:C60"/>
    <mergeCell ref="B61:C61"/>
    <mergeCell ref="A62:D62"/>
    <mergeCell ref="A63:E63"/>
    <mergeCell ref="B64:D64"/>
    <mergeCell ref="A91:C91"/>
    <mergeCell ref="A92:E92"/>
    <mergeCell ref="B94:C94"/>
    <mergeCell ref="A95:C95"/>
    <mergeCell ref="A96:E96"/>
    <mergeCell ref="B97:D97"/>
    <mergeCell ref="B75:C75"/>
    <mergeCell ref="B76:C76"/>
    <mergeCell ref="A77:D77"/>
    <mergeCell ref="A78:C81"/>
    <mergeCell ref="A82:D82"/>
    <mergeCell ref="A83:E83"/>
    <mergeCell ref="C107:D107"/>
    <mergeCell ref="A108:D108"/>
    <mergeCell ref="A109:C114"/>
    <mergeCell ref="A115:D115"/>
    <mergeCell ref="B116:C116"/>
    <mergeCell ref="C117:D117"/>
    <mergeCell ref="A101:D101"/>
    <mergeCell ref="A102:D102"/>
    <mergeCell ref="B103:C103"/>
    <mergeCell ref="C104:D104"/>
    <mergeCell ref="C105:D105"/>
    <mergeCell ref="C106:D106"/>
    <mergeCell ref="A139:D139"/>
    <mergeCell ref="B132:D132"/>
    <mergeCell ref="B133:D133"/>
    <mergeCell ref="B134:D134"/>
    <mergeCell ref="B135:D135"/>
    <mergeCell ref="A137:C137"/>
    <mergeCell ref="B138:D138"/>
    <mergeCell ref="C118:D118"/>
    <mergeCell ref="C119:D119"/>
    <mergeCell ref="A128:D128"/>
    <mergeCell ref="A129:D129"/>
    <mergeCell ref="A130:E130"/>
    <mergeCell ref="A131:D13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39"/>
  <sheetViews>
    <sheetView topLeftCell="A115" workbookViewId="0">
      <selection activeCell="A117" sqref="A117:E118"/>
    </sheetView>
  </sheetViews>
  <sheetFormatPr defaultColWidth="8.85546875" defaultRowHeight="15"/>
  <cols>
    <col min="1" max="1" width="4.7109375" style="44" customWidth="1"/>
    <col min="2" max="5" width="22.7109375" style="44" customWidth="1"/>
    <col min="6" max="16384" width="8.85546875" style="44"/>
  </cols>
  <sheetData>
    <row r="1" spans="1:5">
      <c r="A1" s="242" t="s">
        <v>0</v>
      </c>
      <c r="B1" s="243"/>
      <c r="C1" s="243"/>
      <c r="D1" s="243"/>
      <c r="E1" s="244"/>
    </row>
    <row r="2" spans="1:5" ht="15.75" thickBot="1">
      <c r="A2" s="245"/>
      <c r="B2" s="246"/>
      <c r="C2" s="246"/>
      <c r="D2" s="246"/>
      <c r="E2" s="247"/>
    </row>
    <row r="3" spans="1:5">
      <c r="A3" s="248"/>
      <c r="B3" s="249"/>
      <c r="C3" s="250"/>
      <c r="D3" s="45" t="s">
        <v>1</v>
      </c>
      <c r="E3" s="46" t="s">
        <v>2</v>
      </c>
    </row>
    <row r="4" spans="1:5">
      <c r="A4" s="251" t="s">
        <v>3</v>
      </c>
      <c r="B4" s="252"/>
      <c r="C4" s="253"/>
      <c r="D4" s="254"/>
      <c r="E4" s="255"/>
    </row>
    <row r="5" spans="1:5">
      <c r="A5" s="251" t="s">
        <v>4</v>
      </c>
      <c r="B5" s="252"/>
      <c r="C5" s="253"/>
      <c r="D5" s="256" t="s">
        <v>146</v>
      </c>
      <c r="E5" s="257"/>
    </row>
    <row r="6" spans="1:5">
      <c r="A6" s="47"/>
      <c r="B6" s="234" t="s">
        <v>5</v>
      </c>
      <c r="C6" s="234"/>
      <c r="D6" s="234"/>
      <c r="E6" s="235"/>
    </row>
    <row r="7" spans="1:5">
      <c r="A7" s="212" t="s">
        <v>6</v>
      </c>
      <c r="B7" s="213"/>
      <c r="C7" s="213"/>
      <c r="D7" s="213"/>
      <c r="E7" s="214"/>
    </row>
    <row r="8" spans="1:5" ht="45">
      <c r="A8" s="48" t="s">
        <v>7</v>
      </c>
      <c r="B8" s="49" t="s">
        <v>8</v>
      </c>
      <c r="C8" s="236" t="s">
        <v>147</v>
      </c>
      <c r="D8" s="237"/>
      <c r="E8" s="238"/>
    </row>
    <row r="9" spans="1:5">
      <c r="A9" s="48" t="s">
        <v>9</v>
      </c>
      <c r="B9" s="49" t="s">
        <v>10</v>
      </c>
      <c r="C9" s="239" t="s">
        <v>154</v>
      </c>
      <c r="D9" s="240"/>
      <c r="E9" s="241"/>
    </row>
    <row r="10" spans="1:5" ht="30">
      <c r="A10" s="48" t="s">
        <v>11</v>
      </c>
      <c r="B10" s="49" t="s">
        <v>12</v>
      </c>
      <c r="C10" s="239" t="s">
        <v>13</v>
      </c>
      <c r="D10" s="240"/>
      <c r="E10" s="241"/>
    </row>
    <row r="11" spans="1:5" ht="30">
      <c r="A11" s="48" t="s">
        <v>14</v>
      </c>
      <c r="B11" s="49" t="s">
        <v>15</v>
      </c>
      <c r="C11" s="239" t="s">
        <v>16</v>
      </c>
      <c r="D11" s="240"/>
      <c r="E11" s="241"/>
    </row>
    <row r="12" spans="1:5">
      <c r="A12" s="212" t="s">
        <v>17</v>
      </c>
      <c r="B12" s="213"/>
      <c r="C12" s="213"/>
      <c r="D12" s="213"/>
      <c r="E12" s="214"/>
    </row>
    <row r="13" spans="1:5">
      <c r="A13" s="215" t="s">
        <v>18</v>
      </c>
      <c r="B13" s="216"/>
      <c r="C13" s="50" t="s">
        <v>19</v>
      </c>
      <c r="D13" s="217" t="s">
        <v>20</v>
      </c>
      <c r="E13" s="218"/>
    </row>
    <row r="14" spans="1:5">
      <c r="A14" s="219" t="s">
        <v>151</v>
      </c>
      <c r="B14" s="220"/>
      <c r="C14" s="225" t="s">
        <v>21</v>
      </c>
      <c r="D14" s="228" t="s">
        <v>22</v>
      </c>
      <c r="E14" s="229"/>
    </row>
    <row r="15" spans="1:5">
      <c r="A15" s="221"/>
      <c r="B15" s="222"/>
      <c r="C15" s="226"/>
      <c r="D15" s="230"/>
      <c r="E15" s="231"/>
    </row>
    <row r="16" spans="1:5">
      <c r="A16" s="223"/>
      <c r="B16" s="224"/>
      <c r="C16" s="227"/>
      <c r="D16" s="232"/>
      <c r="E16" s="233"/>
    </row>
    <row r="17" spans="1:5" ht="15.75">
      <c r="A17" s="206" t="s">
        <v>23</v>
      </c>
      <c r="B17" s="207"/>
      <c r="C17" s="207"/>
      <c r="D17" s="207"/>
      <c r="E17" s="208"/>
    </row>
    <row r="18" spans="1:5">
      <c r="A18" s="209" t="s">
        <v>24</v>
      </c>
      <c r="B18" s="210"/>
      <c r="C18" s="210"/>
      <c r="D18" s="210"/>
      <c r="E18" s="211"/>
    </row>
    <row r="19" spans="1:5">
      <c r="A19" s="137" t="s">
        <v>25</v>
      </c>
      <c r="B19" s="138"/>
      <c r="C19" s="138"/>
      <c r="D19" s="139"/>
      <c r="E19" s="98" t="s">
        <v>26</v>
      </c>
    </row>
    <row r="20" spans="1:5">
      <c r="A20" s="48">
        <v>1</v>
      </c>
      <c r="B20" s="201" t="s">
        <v>27</v>
      </c>
      <c r="C20" s="201"/>
      <c r="D20" s="203" t="s">
        <v>169</v>
      </c>
      <c r="E20" s="203"/>
    </row>
    <row r="21" spans="1:5">
      <c r="A21" s="48">
        <v>2</v>
      </c>
      <c r="B21" s="201" t="s">
        <v>28</v>
      </c>
      <c r="C21" s="201"/>
      <c r="D21" s="203" t="s">
        <v>29</v>
      </c>
      <c r="E21" s="203"/>
    </row>
    <row r="22" spans="1:5">
      <c r="A22" s="48">
        <v>3</v>
      </c>
      <c r="B22" s="201" t="s">
        <v>30</v>
      </c>
      <c r="C22" s="201"/>
      <c r="D22" s="202">
        <v>1642.93</v>
      </c>
      <c r="E22" s="202"/>
    </row>
    <row r="23" spans="1:5">
      <c r="A23" s="48">
        <v>4</v>
      </c>
      <c r="B23" s="201" t="s">
        <v>31</v>
      </c>
      <c r="C23" s="201"/>
      <c r="D23" s="203"/>
      <c r="E23" s="203"/>
    </row>
    <row r="24" spans="1:5">
      <c r="A24" s="48">
        <v>5</v>
      </c>
      <c r="B24" s="204" t="s">
        <v>32</v>
      </c>
      <c r="C24" s="204"/>
      <c r="D24" s="205"/>
      <c r="E24" s="205"/>
    </row>
    <row r="25" spans="1:5">
      <c r="A25" s="162" t="s">
        <v>33</v>
      </c>
      <c r="B25" s="163"/>
      <c r="C25" s="163"/>
      <c r="D25" s="164"/>
      <c r="E25" s="5"/>
    </row>
    <row r="26" spans="1:5">
      <c r="A26" s="25">
        <v>1</v>
      </c>
      <c r="B26" s="144" t="s">
        <v>34</v>
      </c>
      <c r="C26" s="145"/>
      <c r="D26" s="51"/>
      <c r="E26" s="98" t="s">
        <v>26</v>
      </c>
    </row>
    <row r="27" spans="1:5">
      <c r="A27" s="52" t="s">
        <v>7</v>
      </c>
      <c r="B27" s="53" t="s">
        <v>36</v>
      </c>
      <c r="C27" s="194"/>
      <c r="D27" s="195"/>
      <c r="E27" s="5">
        <f>D22</f>
        <v>1642.93</v>
      </c>
    </row>
    <row r="28" spans="1:5">
      <c r="A28" s="52" t="s">
        <v>9</v>
      </c>
      <c r="B28" s="53" t="s">
        <v>37</v>
      </c>
      <c r="C28" s="196" t="s">
        <v>38</v>
      </c>
      <c r="D28" s="197"/>
      <c r="E28" s="3">
        <f>TRUNC($E$27*30%,2)</f>
        <v>492.87</v>
      </c>
    </row>
    <row r="29" spans="1:5" ht="39.6" customHeight="1">
      <c r="A29" s="1" t="s">
        <v>14</v>
      </c>
      <c r="B29" s="2" t="s">
        <v>39</v>
      </c>
      <c r="C29" s="128" t="s">
        <v>40</v>
      </c>
      <c r="D29" s="129"/>
      <c r="E29" s="3">
        <f>TRUNC(((8*(7*4.345))*(((E27+E28)/220)*20%)/2),2)</f>
        <v>236.21</v>
      </c>
    </row>
    <row r="30" spans="1:5">
      <c r="A30" s="1" t="s">
        <v>41</v>
      </c>
      <c r="B30" s="2" t="s">
        <v>42</v>
      </c>
      <c r="C30" s="130" t="s">
        <v>43</v>
      </c>
      <c r="D30" s="129"/>
      <c r="E30" s="3">
        <f>TRUNC(((1*(7*4.345))*(((E27+E28)/220))/2),2)</f>
        <v>147.63</v>
      </c>
    </row>
    <row r="31" spans="1:5">
      <c r="A31" s="198" t="s">
        <v>46</v>
      </c>
      <c r="B31" s="199"/>
      <c r="C31" s="199"/>
      <c r="D31" s="200"/>
      <c r="E31" s="5">
        <f>SUM(E27:E30)</f>
        <v>2519.6400000000003</v>
      </c>
    </row>
    <row r="32" spans="1:5">
      <c r="A32" s="159" t="s">
        <v>47</v>
      </c>
      <c r="B32" s="160"/>
      <c r="C32" s="160"/>
      <c r="D32" s="161"/>
      <c r="E32" s="12">
        <f>SUM(E31:E31)</f>
        <v>2519.6400000000003</v>
      </c>
    </row>
    <row r="33" spans="1:5">
      <c r="A33" s="162" t="s">
        <v>48</v>
      </c>
      <c r="B33" s="163"/>
      <c r="C33" s="163"/>
      <c r="D33" s="164"/>
      <c r="E33" s="5"/>
    </row>
    <row r="34" spans="1:5">
      <c r="A34" s="36"/>
      <c r="B34" s="169" t="s">
        <v>49</v>
      </c>
      <c r="C34" s="169"/>
      <c r="D34" s="169"/>
      <c r="E34" s="170"/>
    </row>
    <row r="35" spans="1:5">
      <c r="A35" s="54" t="s">
        <v>50</v>
      </c>
      <c r="B35" s="144" t="s">
        <v>51</v>
      </c>
      <c r="C35" s="145"/>
      <c r="D35" s="6"/>
      <c r="E35" s="98" t="s">
        <v>26</v>
      </c>
    </row>
    <row r="36" spans="1:5">
      <c r="A36" s="6" t="s">
        <v>7</v>
      </c>
      <c r="B36" s="7" t="s">
        <v>52</v>
      </c>
      <c r="C36" s="8"/>
      <c r="D36" s="9">
        <f>1/12</f>
        <v>8.3333333333333329E-2</v>
      </c>
      <c r="E36" s="5">
        <f>TRUNC($E$32*D36,2)</f>
        <v>209.97</v>
      </c>
    </row>
    <row r="37" spans="1:5">
      <c r="A37" s="6" t="s">
        <v>9</v>
      </c>
      <c r="B37" s="7" t="s">
        <v>53</v>
      </c>
      <c r="C37" s="8"/>
      <c r="D37" s="9">
        <f>(((1+1/3)/12))</f>
        <v>0.1111111111111111</v>
      </c>
      <c r="E37" s="5">
        <f>TRUNC($E$32*D37,2)</f>
        <v>279.95999999999998</v>
      </c>
    </row>
    <row r="38" spans="1:5">
      <c r="A38" s="189" t="s">
        <v>46</v>
      </c>
      <c r="B38" s="190"/>
      <c r="C38" s="191"/>
      <c r="D38" s="10">
        <f>SUM(D36:D37)</f>
        <v>0.19444444444444442</v>
      </c>
      <c r="E38" s="5">
        <f>SUM(E36:E37)</f>
        <v>489.92999999999995</v>
      </c>
    </row>
    <row r="39" spans="1:5">
      <c r="A39" s="192" t="s">
        <v>54</v>
      </c>
      <c r="B39" s="192"/>
      <c r="C39" s="192"/>
      <c r="D39" s="192"/>
      <c r="E39" s="5">
        <f>SUM(E38:E38)</f>
        <v>489.92999999999995</v>
      </c>
    </row>
    <row r="40" spans="1:5">
      <c r="A40" s="193" t="s">
        <v>55</v>
      </c>
      <c r="B40" s="193"/>
      <c r="C40" s="193"/>
      <c r="D40" s="85" t="s">
        <v>56</v>
      </c>
      <c r="E40" s="86">
        <f>E32</f>
        <v>2519.6400000000003</v>
      </c>
    </row>
    <row r="41" spans="1:5">
      <c r="A41" s="193"/>
      <c r="B41" s="193"/>
      <c r="C41" s="193"/>
      <c r="D41" s="85" t="s">
        <v>57</v>
      </c>
      <c r="E41" s="87">
        <f>E39</f>
        <v>489.92999999999995</v>
      </c>
    </row>
    <row r="42" spans="1:5">
      <c r="A42" s="193"/>
      <c r="B42" s="193"/>
      <c r="C42" s="193"/>
      <c r="D42" s="96" t="s">
        <v>46</v>
      </c>
      <c r="E42" s="87">
        <f>SUM(E40:E41)</f>
        <v>3009.57</v>
      </c>
    </row>
    <row r="43" spans="1:5">
      <c r="A43" s="55"/>
      <c r="B43" s="187" t="s">
        <v>58</v>
      </c>
      <c r="C43" s="187"/>
      <c r="D43" s="188"/>
      <c r="E43" s="56"/>
    </row>
    <row r="44" spans="1:5">
      <c r="A44" s="25" t="s">
        <v>59</v>
      </c>
      <c r="B44" s="144" t="s">
        <v>60</v>
      </c>
      <c r="C44" s="145"/>
      <c r="D44" s="6"/>
      <c r="E44" s="98" t="s">
        <v>26</v>
      </c>
    </row>
    <row r="45" spans="1:5">
      <c r="A45" s="17" t="s">
        <v>7</v>
      </c>
      <c r="B45" s="185" t="s">
        <v>61</v>
      </c>
      <c r="C45" s="186"/>
      <c r="D45" s="43">
        <v>0.2</v>
      </c>
      <c r="E45" s="5">
        <f>TRUNC($E$42*D45,2)</f>
        <v>601.91</v>
      </c>
    </row>
    <row r="46" spans="1:5">
      <c r="A46" s="17" t="s">
        <v>9</v>
      </c>
      <c r="B46" s="185" t="s">
        <v>62</v>
      </c>
      <c r="C46" s="186"/>
      <c r="D46" s="43">
        <v>2.5000000000000001E-2</v>
      </c>
      <c r="E46" s="5">
        <f>TRUNC($E$42*D46,2)</f>
        <v>75.23</v>
      </c>
    </row>
    <row r="47" spans="1:5">
      <c r="A47" s="112" t="s">
        <v>11</v>
      </c>
      <c r="B47" s="262" t="s">
        <v>153</v>
      </c>
      <c r="C47" s="263"/>
      <c r="D47" s="264">
        <f>3%*1</f>
        <v>0.03</v>
      </c>
      <c r="E47" s="265">
        <f t="shared" ref="E47:E52" si="0">TRUNC($E$42*D47,2)</f>
        <v>90.28</v>
      </c>
    </row>
    <row r="48" spans="1:5">
      <c r="A48" s="17" t="s">
        <v>14</v>
      </c>
      <c r="B48" s="185" t="s">
        <v>63</v>
      </c>
      <c r="C48" s="186"/>
      <c r="D48" s="43">
        <v>1.4999999999999999E-2</v>
      </c>
      <c r="E48" s="5">
        <f t="shared" si="0"/>
        <v>45.14</v>
      </c>
    </row>
    <row r="49" spans="1:5">
      <c r="A49" s="17" t="s">
        <v>41</v>
      </c>
      <c r="B49" s="185" t="s">
        <v>64</v>
      </c>
      <c r="C49" s="186"/>
      <c r="D49" s="43">
        <v>0.01</v>
      </c>
      <c r="E49" s="5">
        <f t="shared" si="0"/>
        <v>30.09</v>
      </c>
    </row>
    <row r="50" spans="1:5">
      <c r="A50" s="17" t="s">
        <v>44</v>
      </c>
      <c r="B50" s="173" t="s">
        <v>65</v>
      </c>
      <c r="C50" s="173"/>
      <c r="D50" s="43">
        <v>6.0000000000000001E-3</v>
      </c>
      <c r="E50" s="5">
        <f>TRUNC($E$42*D50,2)</f>
        <v>18.05</v>
      </c>
    </row>
    <row r="51" spans="1:5">
      <c r="A51" s="17" t="s">
        <v>45</v>
      </c>
      <c r="B51" s="185" t="s">
        <v>66</v>
      </c>
      <c r="C51" s="186"/>
      <c r="D51" s="43">
        <v>2E-3</v>
      </c>
      <c r="E51" s="5">
        <f t="shared" si="0"/>
        <v>6.01</v>
      </c>
    </row>
    <row r="52" spans="1:5">
      <c r="A52" s="17" t="s">
        <v>67</v>
      </c>
      <c r="B52" s="185" t="s">
        <v>68</v>
      </c>
      <c r="C52" s="186"/>
      <c r="D52" s="43">
        <v>0.08</v>
      </c>
      <c r="E52" s="5">
        <f t="shared" si="0"/>
        <v>240.76</v>
      </c>
    </row>
    <row r="53" spans="1:5">
      <c r="A53" s="134" t="s">
        <v>46</v>
      </c>
      <c r="B53" s="135"/>
      <c r="C53" s="136"/>
      <c r="D53" s="21">
        <f>SUM(D45:D52)</f>
        <v>0.36800000000000005</v>
      </c>
      <c r="E53" s="12">
        <f>SUM(E45:E52)</f>
        <v>1107.4699999999998</v>
      </c>
    </row>
    <row r="54" spans="1:5">
      <c r="A54" s="36"/>
      <c r="B54" s="169" t="s">
        <v>69</v>
      </c>
      <c r="C54" s="169"/>
      <c r="D54" s="169"/>
      <c r="E54" s="170"/>
    </row>
    <row r="55" spans="1:5">
      <c r="A55" s="25" t="s">
        <v>70</v>
      </c>
      <c r="B55" s="144" t="s">
        <v>71</v>
      </c>
      <c r="C55" s="145"/>
      <c r="D55" s="6"/>
      <c r="E55" s="98" t="s">
        <v>26</v>
      </c>
    </row>
    <row r="56" spans="1:5">
      <c r="A56" s="112" t="s">
        <v>7</v>
      </c>
      <c r="B56" s="183" t="s">
        <v>72</v>
      </c>
      <c r="C56" s="184"/>
      <c r="D56" s="113"/>
      <c r="E56" s="114">
        <f>TRUNC((((7*4.345)/2)*(3.8*2))-($E$27*6%),2)</f>
        <v>17</v>
      </c>
    </row>
    <row r="57" spans="1:5">
      <c r="A57" s="17" t="s">
        <v>9</v>
      </c>
      <c r="B57" s="116" t="s">
        <v>73</v>
      </c>
      <c r="C57" s="118"/>
      <c r="D57" s="57"/>
      <c r="E57" s="14">
        <f>TRUNC((7*4.345)*(18*0.9)/2,2)</f>
        <v>246.36</v>
      </c>
    </row>
    <row r="58" spans="1:5">
      <c r="A58" s="17" t="s">
        <v>11</v>
      </c>
      <c r="B58" s="116" t="s">
        <v>75</v>
      </c>
      <c r="C58" s="118"/>
      <c r="D58" s="57"/>
      <c r="E58" s="5">
        <v>93.36</v>
      </c>
    </row>
    <row r="59" spans="1:5">
      <c r="A59" s="17" t="s">
        <v>14</v>
      </c>
      <c r="B59" s="116" t="s">
        <v>76</v>
      </c>
      <c r="C59" s="118"/>
      <c r="D59" s="15"/>
      <c r="E59" s="5">
        <v>10.85</v>
      </c>
    </row>
    <row r="60" spans="1:5">
      <c r="A60" s="17" t="s">
        <v>41</v>
      </c>
      <c r="B60" s="116" t="s">
        <v>77</v>
      </c>
      <c r="C60" s="118"/>
      <c r="D60" s="57"/>
      <c r="E60" s="5">
        <v>0</v>
      </c>
    </row>
    <row r="61" spans="1:5">
      <c r="A61" s="17" t="s">
        <v>44</v>
      </c>
      <c r="B61" s="116" t="s">
        <v>77</v>
      </c>
      <c r="C61" s="118"/>
      <c r="D61" s="58"/>
      <c r="E61" s="5">
        <v>0</v>
      </c>
    </row>
    <row r="62" spans="1:5">
      <c r="A62" s="177" t="s">
        <v>78</v>
      </c>
      <c r="B62" s="178"/>
      <c r="C62" s="178"/>
      <c r="D62" s="179"/>
      <c r="E62" s="12">
        <f>SUM(E56:E61)</f>
        <v>367.57000000000005</v>
      </c>
    </row>
    <row r="63" spans="1:5">
      <c r="A63" s="155" t="s">
        <v>79</v>
      </c>
      <c r="B63" s="156"/>
      <c r="C63" s="156"/>
      <c r="D63" s="156"/>
      <c r="E63" s="157"/>
    </row>
    <row r="64" spans="1:5">
      <c r="A64" s="26">
        <v>2</v>
      </c>
      <c r="B64" s="144" t="s">
        <v>80</v>
      </c>
      <c r="C64" s="158"/>
      <c r="D64" s="145"/>
      <c r="E64" s="27" t="s">
        <v>26</v>
      </c>
    </row>
    <row r="65" spans="1:5" ht="30">
      <c r="A65" s="99" t="s">
        <v>50</v>
      </c>
      <c r="B65" s="29" t="s">
        <v>51</v>
      </c>
      <c r="C65" s="30"/>
      <c r="D65" s="31"/>
      <c r="E65" s="5">
        <f>E39</f>
        <v>489.92999999999995</v>
      </c>
    </row>
    <row r="66" spans="1:5" ht="30">
      <c r="A66" s="99" t="s">
        <v>59</v>
      </c>
      <c r="B66" s="29" t="s">
        <v>60</v>
      </c>
      <c r="C66" s="30"/>
      <c r="D66" s="31"/>
      <c r="E66" s="5">
        <f>E53</f>
        <v>1107.4699999999998</v>
      </c>
    </row>
    <row r="67" spans="1:5" ht="30">
      <c r="A67" s="99" t="s">
        <v>70</v>
      </c>
      <c r="B67" s="29" t="s">
        <v>71</v>
      </c>
      <c r="C67" s="30"/>
      <c r="D67" s="31"/>
      <c r="E67" s="5">
        <f>E62</f>
        <v>367.57000000000005</v>
      </c>
    </row>
    <row r="68" spans="1:5">
      <c r="A68" s="22"/>
      <c r="B68" s="23"/>
      <c r="C68" s="23"/>
      <c r="D68" s="24" t="s">
        <v>46</v>
      </c>
      <c r="E68" s="12">
        <f>SUM(E65:E67)</f>
        <v>1964.9699999999998</v>
      </c>
    </row>
    <row r="69" spans="1:5">
      <c r="A69" s="180" t="s">
        <v>81</v>
      </c>
      <c r="B69" s="180"/>
      <c r="C69" s="180"/>
      <c r="D69" s="180"/>
      <c r="E69" s="180"/>
    </row>
    <row r="70" spans="1:5">
      <c r="A70" s="25">
        <v>3</v>
      </c>
      <c r="B70" s="137" t="s">
        <v>82</v>
      </c>
      <c r="C70" s="181"/>
      <c r="D70" s="182"/>
      <c r="E70" s="59" t="s">
        <v>26</v>
      </c>
    </row>
    <row r="71" spans="1:5">
      <c r="A71" s="60" t="s">
        <v>7</v>
      </c>
      <c r="B71" s="171" t="s">
        <v>83</v>
      </c>
      <c r="C71" s="172"/>
      <c r="D71" s="40">
        <f>((1/12)*0.03)</f>
        <v>2.4999999999999996E-3</v>
      </c>
      <c r="E71" s="5">
        <f>TRUNC(+$E$32*D71,2)</f>
        <v>6.29</v>
      </c>
    </row>
    <row r="72" spans="1:5">
      <c r="A72" s="60" t="s">
        <v>9</v>
      </c>
      <c r="B72" s="171" t="s">
        <v>84</v>
      </c>
      <c r="C72" s="172"/>
      <c r="D72" s="40">
        <f>+D52</f>
        <v>0.08</v>
      </c>
      <c r="E72" s="5">
        <f>TRUNC(+E71*D72,2)</f>
        <v>0.5</v>
      </c>
    </row>
    <row r="73" spans="1:5" ht="31.9" customHeight="1">
      <c r="A73" s="60" t="s">
        <v>11</v>
      </c>
      <c r="B73" s="171" t="s">
        <v>85</v>
      </c>
      <c r="C73" s="172"/>
      <c r="D73" s="40">
        <f>(0.08*0.5*0.03)</f>
        <v>1.1999999999999999E-3</v>
      </c>
      <c r="E73" s="5">
        <f>ROUND(+$E$32*D73,2)</f>
        <v>3.02</v>
      </c>
    </row>
    <row r="74" spans="1:5">
      <c r="A74" s="88" t="s">
        <v>14</v>
      </c>
      <c r="B74" s="173" t="s">
        <v>86</v>
      </c>
      <c r="C74" s="173"/>
      <c r="D74" s="77">
        <f>((7/30)/12)*0.97</f>
        <v>1.886111111111111E-2</v>
      </c>
      <c r="E74" s="5">
        <f>TRUNC(+D74*$E$32,2)</f>
        <v>47.52</v>
      </c>
    </row>
    <row r="75" spans="1:5">
      <c r="A75" s="60" t="s">
        <v>41</v>
      </c>
      <c r="B75" s="174" t="s">
        <v>87</v>
      </c>
      <c r="C75" s="174"/>
      <c r="D75" s="40">
        <f>+D53</f>
        <v>0.36800000000000005</v>
      </c>
      <c r="E75" s="5">
        <f>TRUNC(+E74*D75,2)</f>
        <v>17.48</v>
      </c>
    </row>
    <row r="76" spans="1:5">
      <c r="A76" s="89" t="s">
        <v>44</v>
      </c>
      <c r="B76" s="175" t="s">
        <v>88</v>
      </c>
      <c r="C76" s="176"/>
      <c r="D76" s="90">
        <f>(0.08*0.5)*0.97</f>
        <v>3.8800000000000001E-2</v>
      </c>
      <c r="E76" s="5">
        <f>TRUNC(+E32*D76,E348)</f>
        <v>97</v>
      </c>
    </row>
    <row r="77" spans="1:5">
      <c r="A77" s="165" t="s">
        <v>46</v>
      </c>
      <c r="B77" s="166"/>
      <c r="C77" s="166"/>
      <c r="D77" s="167"/>
      <c r="E77" s="16">
        <f>SUM(E71:E76)</f>
        <v>171.81</v>
      </c>
    </row>
    <row r="78" spans="1:5">
      <c r="A78" s="140" t="s">
        <v>89</v>
      </c>
      <c r="B78" s="140"/>
      <c r="C78" s="140"/>
      <c r="D78" s="92" t="s">
        <v>56</v>
      </c>
      <c r="E78" s="93">
        <f>E32</f>
        <v>2519.6400000000003</v>
      </c>
    </row>
    <row r="79" spans="1:5">
      <c r="A79" s="140"/>
      <c r="B79" s="140"/>
      <c r="C79" s="140"/>
      <c r="D79" s="92" t="s">
        <v>90</v>
      </c>
      <c r="E79" s="93">
        <f>E68</f>
        <v>1964.9699999999998</v>
      </c>
    </row>
    <row r="80" spans="1:5">
      <c r="A80" s="140"/>
      <c r="B80" s="140"/>
      <c r="C80" s="140"/>
      <c r="D80" s="92" t="s">
        <v>91</v>
      </c>
      <c r="E80" s="93">
        <f>E77</f>
        <v>171.81</v>
      </c>
    </row>
    <row r="81" spans="1:5">
      <c r="A81" s="140"/>
      <c r="B81" s="140"/>
      <c r="C81" s="140"/>
      <c r="D81" s="95" t="s">
        <v>78</v>
      </c>
      <c r="E81" s="94">
        <f>SUM(E78:E80)</f>
        <v>4656.420000000001</v>
      </c>
    </row>
    <row r="82" spans="1:5">
      <c r="A82" s="141" t="s">
        <v>92</v>
      </c>
      <c r="B82" s="142"/>
      <c r="C82" s="142"/>
      <c r="D82" s="143"/>
      <c r="E82" s="91"/>
    </row>
    <row r="83" spans="1:5">
      <c r="A83" s="168" t="s">
        <v>93</v>
      </c>
      <c r="B83" s="169"/>
      <c r="C83" s="169"/>
      <c r="D83" s="169"/>
      <c r="E83" s="170"/>
    </row>
    <row r="84" spans="1:5">
      <c r="A84" s="34" t="s">
        <v>94</v>
      </c>
      <c r="B84" s="36" t="s">
        <v>95</v>
      </c>
      <c r="C84" s="37"/>
      <c r="D84" s="6"/>
      <c r="E84" s="35" t="s">
        <v>26</v>
      </c>
    </row>
    <row r="85" spans="1:5" ht="16.5">
      <c r="A85" s="17" t="s">
        <v>7</v>
      </c>
      <c r="B85" s="38" t="s">
        <v>96</v>
      </c>
      <c r="C85" s="39"/>
      <c r="D85" s="40">
        <f>(( 1+1/3)/12)/12</f>
        <v>9.2592592592592587E-3</v>
      </c>
      <c r="E85" s="5">
        <f>TRUNC(+D85*$E$81,2)</f>
        <v>43.11</v>
      </c>
    </row>
    <row r="86" spans="1:5" ht="16.5">
      <c r="A86" s="17" t="s">
        <v>9</v>
      </c>
      <c r="B86" t="s">
        <v>97</v>
      </c>
      <c r="C86" s="39"/>
      <c r="D86" s="40">
        <f>((2/30)/12)</f>
        <v>5.5555555555555558E-3</v>
      </c>
      <c r="E86" s="5">
        <f>TRUNC(+D86*$E$81,2)</f>
        <v>25.86</v>
      </c>
    </row>
    <row r="87" spans="1:5" ht="16.5">
      <c r="A87" s="17" t="s">
        <v>11</v>
      </c>
      <c r="B87" s="38" t="s">
        <v>98</v>
      </c>
      <c r="C87" s="39"/>
      <c r="D87" s="40">
        <f>((5/30)/12)*0.02</f>
        <v>2.7777777777777778E-4</v>
      </c>
      <c r="E87" s="5">
        <f t="shared" ref="E87:E90" si="1">TRUNC(+D87*$E$81,2)</f>
        <v>1.29</v>
      </c>
    </row>
    <row r="88" spans="1:5" ht="30">
      <c r="A88" s="17" t="s">
        <v>14</v>
      </c>
      <c r="B88" s="38" t="s">
        <v>99</v>
      </c>
      <c r="C88" s="39"/>
      <c r="D88" s="40">
        <f>((15/30)/12)*0.02</f>
        <v>8.3333333333333328E-4</v>
      </c>
      <c r="E88" s="5">
        <f>TRUNC(+D88*$E$81,2)</f>
        <v>3.88</v>
      </c>
    </row>
    <row r="89" spans="1:5" ht="30">
      <c r="A89" s="17" t="s">
        <v>41</v>
      </c>
      <c r="B89" s="38" t="s">
        <v>100</v>
      </c>
      <c r="C89" s="39"/>
      <c r="D89" s="18">
        <f>((1+1/3)/12)*0.01*((4/12))</f>
        <v>3.7037037037037035E-4</v>
      </c>
      <c r="E89" s="5">
        <f t="shared" si="1"/>
        <v>1.72</v>
      </c>
    </row>
    <row r="90" spans="1:5">
      <c r="A90" s="17" t="s">
        <v>44</v>
      </c>
      <c r="B90" s="41" t="s">
        <v>101</v>
      </c>
      <c r="C90" s="42"/>
      <c r="D90" s="43">
        <v>0</v>
      </c>
      <c r="E90" s="5">
        <f t="shared" si="1"/>
        <v>0</v>
      </c>
    </row>
    <row r="91" spans="1:5">
      <c r="A91" s="134" t="s">
        <v>46</v>
      </c>
      <c r="B91" s="135"/>
      <c r="C91" s="136"/>
      <c r="D91" s="19"/>
      <c r="E91" s="12">
        <f>SUM(E85:E90)</f>
        <v>75.86</v>
      </c>
    </row>
    <row r="92" spans="1:5">
      <c r="A92" s="116" t="s">
        <v>102</v>
      </c>
      <c r="B92" s="117"/>
      <c r="C92" s="117"/>
      <c r="D92" s="117"/>
      <c r="E92" s="118"/>
    </row>
    <row r="93" spans="1:5">
      <c r="A93" s="61" t="s">
        <v>103</v>
      </c>
      <c r="B93" s="36" t="s">
        <v>104</v>
      </c>
      <c r="C93" s="37"/>
      <c r="D93" s="6"/>
      <c r="E93" s="35" t="s">
        <v>26</v>
      </c>
    </row>
    <row r="94" spans="1:5">
      <c r="A94" s="17" t="s">
        <v>7</v>
      </c>
      <c r="B94" s="153" t="s">
        <v>105</v>
      </c>
      <c r="C94" s="154"/>
      <c r="D94" s="43"/>
      <c r="E94" s="4">
        <f>TRUNC(((E81)/220)*(1*(7*4.345))/2,2)</f>
        <v>321.87</v>
      </c>
    </row>
    <row r="95" spans="1:5">
      <c r="A95" s="134" t="s">
        <v>46</v>
      </c>
      <c r="B95" s="135"/>
      <c r="C95" s="136"/>
      <c r="D95" s="19"/>
      <c r="E95" s="12">
        <f>SUM(E94)</f>
        <v>321.87</v>
      </c>
    </row>
    <row r="96" spans="1:5">
      <c r="A96" s="155" t="s">
        <v>106</v>
      </c>
      <c r="B96" s="156"/>
      <c r="C96" s="156"/>
      <c r="D96" s="156"/>
      <c r="E96" s="157"/>
    </row>
    <row r="97" spans="1:5">
      <c r="A97" s="26">
        <v>4</v>
      </c>
      <c r="B97" s="144" t="s">
        <v>107</v>
      </c>
      <c r="C97" s="158"/>
      <c r="D97" s="145"/>
      <c r="E97" s="27" t="s">
        <v>26</v>
      </c>
    </row>
    <row r="98" spans="1:5">
      <c r="A98" s="99" t="s">
        <v>94</v>
      </c>
      <c r="B98" s="29" t="s">
        <v>95</v>
      </c>
      <c r="C98" s="30"/>
      <c r="D98" s="31"/>
      <c r="E98" s="5">
        <f>+E91</f>
        <v>75.86</v>
      </c>
    </row>
    <row r="99" spans="1:5">
      <c r="A99" s="99" t="s">
        <v>103</v>
      </c>
      <c r="B99" s="29" t="s">
        <v>104</v>
      </c>
      <c r="C99" s="30"/>
      <c r="D99" s="31"/>
      <c r="E99" s="5">
        <f>+E95</f>
        <v>321.87</v>
      </c>
    </row>
    <row r="100" spans="1:5">
      <c r="A100" s="32"/>
      <c r="B100" s="30"/>
      <c r="C100" s="30"/>
      <c r="D100" s="33" t="s">
        <v>46</v>
      </c>
      <c r="E100" s="5">
        <f>SUM(E98:E99)</f>
        <v>397.73</v>
      </c>
    </row>
    <row r="101" spans="1:5">
      <c r="A101" s="159" t="s">
        <v>108</v>
      </c>
      <c r="B101" s="160"/>
      <c r="C101" s="160"/>
      <c r="D101" s="161"/>
      <c r="E101" s="12">
        <f>SUM(E100:E100)</f>
        <v>397.73</v>
      </c>
    </row>
    <row r="102" spans="1:5">
      <c r="A102" s="162" t="s">
        <v>109</v>
      </c>
      <c r="B102" s="163"/>
      <c r="C102" s="163"/>
      <c r="D102" s="164"/>
      <c r="E102" s="5"/>
    </row>
    <row r="103" spans="1:5">
      <c r="A103" s="34">
        <v>5</v>
      </c>
      <c r="B103" s="144" t="s">
        <v>110</v>
      </c>
      <c r="C103" s="145"/>
      <c r="D103" s="6"/>
      <c r="E103" s="35" t="s">
        <v>26</v>
      </c>
    </row>
    <row r="104" spans="1:5">
      <c r="A104" s="112" t="s">
        <v>7</v>
      </c>
      <c r="B104" s="267" t="s">
        <v>111</v>
      </c>
      <c r="C104" s="268"/>
      <c r="D104" s="269"/>
      <c r="E104" s="265">
        <v>38.729999999999997</v>
      </c>
    </row>
    <row r="105" spans="1:5">
      <c r="A105" s="112" t="s">
        <v>9</v>
      </c>
      <c r="B105" s="270" t="s">
        <v>112</v>
      </c>
      <c r="C105" s="271" t="s">
        <v>150</v>
      </c>
      <c r="D105" s="272"/>
      <c r="E105" s="273">
        <v>0</v>
      </c>
    </row>
    <row r="106" spans="1:5">
      <c r="A106" s="112" t="s">
        <v>11</v>
      </c>
      <c r="B106" s="274" t="s">
        <v>113</v>
      </c>
      <c r="C106" s="268" t="s">
        <v>149</v>
      </c>
      <c r="D106" s="269"/>
      <c r="E106" s="273">
        <v>20.100000000000001</v>
      </c>
    </row>
    <row r="107" spans="1:5">
      <c r="A107" s="17" t="s">
        <v>14</v>
      </c>
      <c r="B107" s="38" t="s">
        <v>77</v>
      </c>
      <c r="C107" s="148"/>
      <c r="D107" s="149"/>
      <c r="E107" s="5">
        <v>0</v>
      </c>
    </row>
    <row r="108" spans="1:5">
      <c r="A108" s="150" t="s">
        <v>114</v>
      </c>
      <c r="B108" s="151"/>
      <c r="C108" s="151"/>
      <c r="D108" s="152"/>
      <c r="E108" s="16">
        <f>SUM(E104:E107)</f>
        <v>58.83</v>
      </c>
    </row>
    <row r="109" spans="1:5">
      <c r="A109" s="140" t="s">
        <v>115</v>
      </c>
      <c r="B109" s="140"/>
      <c r="C109" s="140"/>
      <c r="D109" s="92" t="s">
        <v>56</v>
      </c>
      <c r="E109" s="93">
        <f>E32</f>
        <v>2519.6400000000003</v>
      </c>
    </row>
    <row r="110" spans="1:5">
      <c r="A110" s="140"/>
      <c r="B110" s="140"/>
      <c r="C110" s="140"/>
      <c r="D110" s="92" t="s">
        <v>90</v>
      </c>
      <c r="E110" s="93">
        <f>E68</f>
        <v>1964.9699999999998</v>
      </c>
    </row>
    <row r="111" spans="1:5">
      <c r="A111" s="140"/>
      <c r="B111" s="140"/>
      <c r="C111" s="140"/>
      <c r="D111" s="92" t="s">
        <v>91</v>
      </c>
      <c r="E111" s="93">
        <f>E77</f>
        <v>171.81</v>
      </c>
    </row>
    <row r="112" spans="1:5">
      <c r="A112" s="140"/>
      <c r="B112" s="140"/>
      <c r="C112" s="140"/>
      <c r="D112" s="92" t="s">
        <v>116</v>
      </c>
      <c r="E112" s="93">
        <f>E101</f>
        <v>397.73</v>
      </c>
    </row>
    <row r="113" spans="1:5">
      <c r="A113" s="140"/>
      <c r="B113" s="140"/>
      <c r="C113" s="140"/>
      <c r="D113" s="92" t="s">
        <v>117</v>
      </c>
      <c r="E113" s="93">
        <f>E108</f>
        <v>58.83</v>
      </c>
    </row>
    <row r="114" spans="1:5">
      <c r="A114" s="140"/>
      <c r="B114" s="140"/>
      <c r="C114" s="140"/>
      <c r="D114" s="95" t="s">
        <v>78</v>
      </c>
      <c r="E114" s="94">
        <f>SUM(E109:E113)</f>
        <v>5112.9800000000014</v>
      </c>
    </row>
    <row r="115" spans="1:5">
      <c r="A115" s="141" t="s">
        <v>118</v>
      </c>
      <c r="B115" s="142"/>
      <c r="C115" s="142" t="s">
        <v>119</v>
      </c>
      <c r="D115" s="143" t="s">
        <v>120</v>
      </c>
      <c r="E115" s="80"/>
    </row>
    <row r="116" spans="1:5">
      <c r="A116" s="25">
        <v>6</v>
      </c>
      <c r="B116" s="144" t="s">
        <v>121</v>
      </c>
      <c r="C116" s="145"/>
      <c r="D116" s="6"/>
      <c r="E116" s="98" t="s">
        <v>26</v>
      </c>
    </row>
    <row r="117" spans="1:5">
      <c r="A117" s="275" t="s">
        <v>7</v>
      </c>
      <c r="B117" s="267" t="s">
        <v>122</v>
      </c>
      <c r="C117" s="276">
        <v>0.06</v>
      </c>
      <c r="D117" s="277"/>
      <c r="E117" s="265">
        <f>TRUNC(+E114*C117,2)</f>
        <v>306.77</v>
      </c>
    </row>
    <row r="118" spans="1:5" ht="15.75" thickBot="1">
      <c r="A118" s="275" t="s">
        <v>9</v>
      </c>
      <c r="B118" s="267" t="s">
        <v>123</v>
      </c>
      <c r="C118" s="278">
        <v>6.7900000000000002E-2</v>
      </c>
      <c r="D118" s="279"/>
      <c r="E118" s="265">
        <f>TRUNC(C118*(+E114+E117),2)</f>
        <v>368</v>
      </c>
    </row>
    <row r="119" spans="1:5" ht="30.75" thickBot="1">
      <c r="A119" s="62"/>
      <c r="B119" s="63" t="s">
        <v>168</v>
      </c>
      <c r="C119" s="146" t="s">
        <v>125</v>
      </c>
      <c r="D119" s="147"/>
      <c r="E119" s="64">
        <f>E114+E117+E118</f>
        <v>5787.7500000000018</v>
      </c>
    </row>
    <row r="120" spans="1:5" ht="15.75" thickBot="1">
      <c r="A120" s="65" t="s">
        <v>11</v>
      </c>
      <c r="B120" s="66" t="s">
        <v>126</v>
      </c>
      <c r="C120" s="67">
        <f>(D127*100)</f>
        <v>5.6499999999999995</v>
      </c>
      <c r="D120" s="68">
        <f>+(100-C120)/100</f>
        <v>0.94349999999999989</v>
      </c>
      <c r="E120" s="69">
        <f>TRUNC(E119/D120,2)</f>
        <v>6134.34</v>
      </c>
    </row>
    <row r="121" spans="1:5">
      <c r="A121" s="70"/>
      <c r="B121" s="71" t="s">
        <v>127</v>
      </c>
      <c r="C121" s="72"/>
      <c r="D121" s="73"/>
      <c r="E121" s="5"/>
    </row>
    <row r="122" spans="1:5">
      <c r="A122" s="70"/>
      <c r="B122" s="74" t="s">
        <v>128</v>
      </c>
      <c r="C122" s="42"/>
      <c r="D122" s="40">
        <v>6.4999999999999997E-3</v>
      </c>
      <c r="E122" s="5">
        <f>TRUNC(+E120*D122,2)</f>
        <v>39.869999999999997</v>
      </c>
    </row>
    <row r="123" spans="1:5">
      <c r="A123" s="70"/>
      <c r="B123" s="74" t="s">
        <v>129</v>
      </c>
      <c r="C123" s="42"/>
      <c r="D123" s="40">
        <v>0.03</v>
      </c>
      <c r="E123" s="5">
        <f>TRUNC(+E120*D123,2)</f>
        <v>184.03</v>
      </c>
    </row>
    <row r="124" spans="1:5">
      <c r="A124" s="70"/>
      <c r="B124" s="36" t="s">
        <v>130</v>
      </c>
      <c r="C124" s="75"/>
      <c r="D124" s="13"/>
      <c r="E124" s="5"/>
    </row>
    <row r="125" spans="1:5">
      <c r="A125" s="70"/>
      <c r="B125" s="36" t="s">
        <v>131</v>
      </c>
      <c r="C125" s="75"/>
      <c r="D125" s="75"/>
      <c r="E125" s="5"/>
    </row>
    <row r="126" spans="1:5">
      <c r="A126" s="70"/>
      <c r="B126" s="76" t="s">
        <v>132</v>
      </c>
      <c r="C126" s="42"/>
      <c r="D126" s="77">
        <v>0.02</v>
      </c>
      <c r="E126" s="11">
        <f>TRUNC(+E120*D126,2)</f>
        <v>122.68</v>
      </c>
    </row>
    <row r="127" spans="1:5">
      <c r="A127" s="78"/>
      <c r="B127" s="13" t="s">
        <v>133</v>
      </c>
      <c r="C127" s="13"/>
      <c r="D127" s="79">
        <f>SUM(D122:D126)</f>
        <v>5.6499999999999995E-2</v>
      </c>
      <c r="E127" s="5">
        <f>SUM(E122:E126)</f>
        <v>346.58000000000004</v>
      </c>
    </row>
    <row r="128" spans="1:5">
      <c r="A128" s="131" t="s">
        <v>134</v>
      </c>
      <c r="B128" s="132"/>
      <c r="C128" s="132"/>
      <c r="D128" s="133"/>
      <c r="E128" s="20">
        <f>E117+E118+E127</f>
        <v>1021.35</v>
      </c>
    </row>
    <row r="129" spans="1:5">
      <c r="A129" s="134" t="s">
        <v>135</v>
      </c>
      <c r="B129" s="135"/>
      <c r="C129" s="135"/>
      <c r="D129" s="136"/>
      <c r="E129" s="12">
        <f>SUM(E128:E128)</f>
        <v>1021.35</v>
      </c>
    </row>
    <row r="130" spans="1:5">
      <c r="A130" s="137" t="s">
        <v>136</v>
      </c>
      <c r="B130" s="138"/>
      <c r="C130" s="138"/>
      <c r="D130" s="138"/>
      <c r="E130" s="139"/>
    </row>
    <row r="131" spans="1:5">
      <c r="A131" s="137" t="s">
        <v>137</v>
      </c>
      <c r="B131" s="138"/>
      <c r="C131" s="138"/>
      <c r="D131" s="139"/>
      <c r="E131" s="98" t="s">
        <v>26</v>
      </c>
    </row>
    <row r="132" spans="1:5">
      <c r="A132" s="26" t="s">
        <v>7</v>
      </c>
      <c r="B132" s="116" t="s">
        <v>138</v>
      </c>
      <c r="C132" s="117"/>
      <c r="D132" s="118"/>
      <c r="E132" s="5">
        <f>E32</f>
        <v>2519.6400000000003</v>
      </c>
    </row>
    <row r="133" spans="1:5">
      <c r="A133" s="26" t="s">
        <v>9</v>
      </c>
      <c r="B133" s="116" t="s">
        <v>139</v>
      </c>
      <c r="C133" s="117"/>
      <c r="D133" s="118"/>
      <c r="E133" s="5">
        <f>+E68</f>
        <v>1964.9699999999998</v>
      </c>
    </row>
    <row r="134" spans="1:5">
      <c r="A134" s="26" t="s">
        <v>11</v>
      </c>
      <c r="B134" s="116" t="s">
        <v>140</v>
      </c>
      <c r="C134" s="117"/>
      <c r="D134" s="118"/>
      <c r="E134" s="5">
        <f>+E77</f>
        <v>171.81</v>
      </c>
    </row>
    <row r="135" spans="1:5">
      <c r="A135" s="26" t="s">
        <v>14</v>
      </c>
      <c r="B135" s="116" t="s">
        <v>141</v>
      </c>
      <c r="C135" s="117"/>
      <c r="D135" s="118"/>
      <c r="E135" s="5">
        <f>+E101</f>
        <v>397.73</v>
      </c>
    </row>
    <row r="136" spans="1:5" ht="30">
      <c r="A136" s="26" t="s">
        <v>41</v>
      </c>
      <c r="B136" s="63" t="s">
        <v>142</v>
      </c>
      <c r="C136" s="81"/>
      <c r="D136" s="82"/>
      <c r="E136" s="5">
        <f>+E108</f>
        <v>58.83</v>
      </c>
    </row>
    <row r="137" spans="1:5" s="84" customFormat="1">
      <c r="A137" s="119" t="s">
        <v>143</v>
      </c>
      <c r="B137" s="120"/>
      <c r="C137" s="121"/>
      <c r="D137" s="40"/>
      <c r="E137" s="5">
        <f>SUM(E132:E136)</f>
        <v>5112.9800000000014</v>
      </c>
    </row>
    <row r="138" spans="1:5" ht="15.75" thickBot="1">
      <c r="A138" s="83" t="s">
        <v>44</v>
      </c>
      <c r="B138" s="122" t="s">
        <v>144</v>
      </c>
      <c r="C138" s="123"/>
      <c r="D138" s="124"/>
      <c r="E138" s="11">
        <f>E129</f>
        <v>1021.35</v>
      </c>
    </row>
    <row r="139" spans="1:5" ht="15.75" thickBot="1">
      <c r="A139" s="125" t="s">
        <v>145</v>
      </c>
      <c r="B139" s="126"/>
      <c r="C139" s="126"/>
      <c r="D139" s="127"/>
      <c r="E139" s="97">
        <f>+E137+E138</f>
        <v>6134.3300000000017</v>
      </c>
    </row>
  </sheetData>
  <mergeCells count="110">
    <mergeCell ref="B6:E6"/>
    <mergeCell ref="A7:E7"/>
    <mergeCell ref="C8:E8"/>
    <mergeCell ref="C9:E9"/>
    <mergeCell ref="C10:E10"/>
    <mergeCell ref="C11:E11"/>
    <mergeCell ref="A1:E2"/>
    <mergeCell ref="A3:C3"/>
    <mergeCell ref="A4:C4"/>
    <mergeCell ref="D4:E4"/>
    <mergeCell ref="A5:C5"/>
    <mergeCell ref="D5:E5"/>
    <mergeCell ref="A17:E17"/>
    <mergeCell ref="A18:E18"/>
    <mergeCell ref="A19:D19"/>
    <mergeCell ref="B20:C20"/>
    <mergeCell ref="D20:E20"/>
    <mergeCell ref="B21:C21"/>
    <mergeCell ref="D21:E21"/>
    <mergeCell ref="A12:E12"/>
    <mergeCell ref="A13:B13"/>
    <mergeCell ref="D13:E13"/>
    <mergeCell ref="A14:B16"/>
    <mergeCell ref="C14:C16"/>
    <mergeCell ref="D14:E16"/>
    <mergeCell ref="A25:D25"/>
    <mergeCell ref="B26:C26"/>
    <mergeCell ref="C27:D27"/>
    <mergeCell ref="C28:D28"/>
    <mergeCell ref="C29:D29"/>
    <mergeCell ref="C30:D30"/>
    <mergeCell ref="B22:C22"/>
    <mergeCell ref="D22:E22"/>
    <mergeCell ref="B23:C23"/>
    <mergeCell ref="D23:E23"/>
    <mergeCell ref="B24:C24"/>
    <mergeCell ref="D24:E24"/>
    <mergeCell ref="A39:D39"/>
    <mergeCell ref="A40:C42"/>
    <mergeCell ref="B43:D43"/>
    <mergeCell ref="B44:C44"/>
    <mergeCell ref="B45:C45"/>
    <mergeCell ref="B46:C46"/>
    <mergeCell ref="A31:D31"/>
    <mergeCell ref="A32:D32"/>
    <mergeCell ref="A33:D33"/>
    <mergeCell ref="B34:E34"/>
    <mergeCell ref="B35:C35"/>
    <mergeCell ref="A38:C38"/>
    <mergeCell ref="A53:C53"/>
    <mergeCell ref="B54:E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A69:E69"/>
    <mergeCell ref="B70:D70"/>
    <mergeCell ref="B71:C71"/>
    <mergeCell ref="B72:C72"/>
    <mergeCell ref="B73:C73"/>
    <mergeCell ref="B74:C74"/>
    <mergeCell ref="B59:C59"/>
    <mergeCell ref="B60:C60"/>
    <mergeCell ref="B61:C61"/>
    <mergeCell ref="A62:D62"/>
    <mergeCell ref="A63:E63"/>
    <mergeCell ref="B64:D64"/>
    <mergeCell ref="A91:C91"/>
    <mergeCell ref="A92:E92"/>
    <mergeCell ref="B94:C94"/>
    <mergeCell ref="A95:C95"/>
    <mergeCell ref="A96:E96"/>
    <mergeCell ref="B97:D97"/>
    <mergeCell ref="B75:C75"/>
    <mergeCell ref="B76:C76"/>
    <mergeCell ref="A77:D77"/>
    <mergeCell ref="A78:C81"/>
    <mergeCell ref="A82:D82"/>
    <mergeCell ref="A83:E83"/>
    <mergeCell ref="C107:D107"/>
    <mergeCell ref="A108:D108"/>
    <mergeCell ref="A109:C114"/>
    <mergeCell ref="A115:D115"/>
    <mergeCell ref="B116:C116"/>
    <mergeCell ref="C117:D117"/>
    <mergeCell ref="A101:D101"/>
    <mergeCell ref="A102:D102"/>
    <mergeCell ref="B103:C103"/>
    <mergeCell ref="C104:D104"/>
    <mergeCell ref="C105:D105"/>
    <mergeCell ref="C106:D106"/>
    <mergeCell ref="A139:D139"/>
    <mergeCell ref="B132:D132"/>
    <mergeCell ref="B133:D133"/>
    <mergeCell ref="B134:D134"/>
    <mergeCell ref="B135:D135"/>
    <mergeCell ref="A137:C137"/>
    <mergeCell ref="B138:D138"/>
    <mergeCell ref="C118:D118"/>
    <mergeCell ref="C119:D119"/>
    <mergeCell ref="A128:D128"/>
    <mergeCell ref="A129:D129"/>
    <mergeCell ref="A130:E130"/>
    <mergeCell ref="A131:D13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I7"/>
  <sheetViews>
    <sheetView tabSelected="1" workbookViewId="0">
      <selection activeCell="A3" sqref="A3:I7"/>
    </sheetView>
  </sheetViews>
  <sheetFormatPr defaultColWidth="8.85546875" defaultRowHeight="15"/>
  <cols>
    <col min="1" max="1" width="15.28515625" style="105" customWidth="1"/>
    <col min="2" max="2" width="11.42578125" style="105" customWidth="1"/>
    <col min="3" max="3" width="11.140625" style="105" bestFit="1" customWidth="1"/>
    <col min="4" max="4" width="10.7109375" style="105" customWidth="1"/>
    <col min="5" max="5" width="13.7109375" style="105" customWidth="1"/>
    <col min="6" max="6" width="9.140625" style="105" bestFit="1" customWidth="1"/>
    <col min="7" max="7" width="14.28515625" style="105" customWidth="1"/>
    <col min="8" max="8" width="16.28515625" style="105" customWidth="1"/>
    <col min="9" max="9" width="15.85546875" style="105" customWidth="1"/>
    <col min="10" max="16384" width="8.85546875" style="105"/>
  </cols>
  <sheetData>
    <row r="1" spans="1:9">
      <c r="A1" s="261" t="s">
        <v>156</v>
      </c>
      <c r="B1" s="261"/>
      <c r="C1" s="261"/>
      <c r="D1" s="261"/>
      <c r="E1" s="261"/>
      <c r="F1" s="261"/>
      <c r="G1" s="261"/>
      <c r="H1" s="261"/>
      <c r="I1" s="261"/>
    </row>
    <row r="3" spans="1:9" ht="75">
      <c r="A3" s="110" t="s">
        <v>21</v>
      </c>
      <c r="B3" s="110" t="s">
        <v>157</v>
      </c>
      <c r="C3" s="109" t="s">
        <v>161</v>
      </c>
      <c r="D3" s="109" t="s">
        <v>164</v>
      </c>
      <c r="E3" s="109" t="s">
        <v>162</v>
      </c>
      <c r="F3" s="109" t="s">
        <v>163</v>
      </c>
      <c r="G3" s="109" t="s">
        <v>165</v>
      </c>
      <c r="H3" s="109" t="s">
        <v>166</v>
      </c>
      <c r="I3" s="109" t="s">
        <v>167</v>
      </c>
    </row>
    <row r="4" spans="1:9">
      <c r="A4" s="258" t="s">
        <v>155</v>
      </c>
      <c r="B4" s="106" t="s">
        <v>160</v>
      </c>
      <c r="C4" s="108">
        <f>'POSTO NOTURNO 12X36 - ALFENAS'!E139</f>
        <v>6152.7900000000009</v>
      </c>
      <c r="D4" s="100">
        <v>2</v>
      </c>
      <c r="E4" s="102">
        <f t="shared" ref="E4:E6" si="0">C4*D4</f>
        <v>12305.580000000002</v>
      </c>
      <c r="F4" s="106">
        <v>4</v>
      </c>
      <c r="G4" s="104">
        <f t="shared" ref="G4:G6" si="1">D4*F4</f>
        <v>8</v>
      </c>
      <c r="H4" s="102">
        <f t="shared" ref="H4:H6" si="2">E4*F4</f>
        <v>49222.320000000007</v>
      </c>
      <c r="I4" s="107">
        <f t="shared" ref="I4:I6" si="3">H4*12</f>
        <v>590667.84000000008</v>
      </c>
    </row>
    <row r="5" spans="1:9">
      <c r="A5" s="259"/>
      <c r="B5" s="106" t="s">
        <v>158</v>
      </c>
      <c r="C5" s="108">
        <f>'POSTO NOTURNO 12X36 - VARGINHA'!E139</f>
        <v>6130.36</v>
      </c>
      <c r="D5" s="100">
        <v>2</v>
      </c>
      <c r="E5" s="102">
        <f t="shared" si="0"/>
        <v>12260.72</v>
      </c>
      <c r="F5" s="106">
        <v>2</v>
      </c>
      <c r="G5" s="104">
        <f t="shared" si="1"/>
        <v>4</v>
      </c>
      <c r="H5" s="102">
        <f t="shared" si="2"/>
        <v>24521.439999999999</v>
      </c>
      <c r="I5" s="107">
        <f t="shared" si="3"/>
        <v>294257.27999999997</v>
      </c>
    </row>
    <row r="6" spans="1:9" ht="30">
      <c r="A6" s="260"/>
      <c r="B6" s="111" t="s">
        <v>159</v>
      </c>
      <c r="C6" s="108">
        <f>'POSTO NOTURNO 12X36 POÇOS'!E139</f>
        <v>6134.3300000000017</v>
      </c>
      <c r="D6" s="100">
        <v>2</v>
      </c>
      <c r="E6" s="102">
        <f t="shared" si="0"/>
        <v>12268.660000000003</v>
      </c>
      <c r="F6" s="106">
        <v>2</v>
      </c>
      <c r="G6" s="104">
        <f t="shared" si="1"/>
        <v>4</v>
      </c>
      <c r="H6" s="102">
        <f t="shared" si="2"/>
        <v>24537.320000000007</v>
      </c>
      <c r="I6" s="107">
        <f t="shared" si="3"/>
        <v>294447.84000000008</v>
      </c>
    </row>
    <row r="7" spans="1:9">
      <c r="A7" s="101" t="s">
        <v>46</v>
      </c>
      <c r="B7" s="101"/>
      <c r="C7" s="103">
        <f t="shared" ref="C7:I7" si="4">SUM(C4:C6)</f>
        <v>18417.480000000003</v>
      </c>
      <c r="D7" s="115">
        <f t="shared" si="4"/>
        <v>6</v>
      </c>
      <c r="E7" s="103">
        <f t="shared" si="4"/>
        <v>36834.960000000006</v>
      </c>
      <c r="F7" s="101">
        <f t="shared" si="4"/>
        <v>8</v>
      </c>
      <c r="G7" s="101">
        <f t="shared" si="4"/>
        <v>16</v>
      </c>
      <c r="H7" s="103">
        <f t="shared" si="4"/>
        <v>98281.080000000016</v>
      </c>
      <c r="I7" s="103">
        <f t="shared" si="4"/>
        <v>1179372.9600000002</v>
      </c>
    </row>
  </sheetData>
  <mergeCells count="2">
    <mergeCell ref="A4:A6"/>
    <mergeCell ref="A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POSTO NOTURNO 12X36 - ALFENAS</vt:lpstr>
      <vt:lpstr>POSTO NOTURNO 12X36 - VARGINHA</vt:lpstr>
      <vt:lpstr>POSTO NOTURNO 12X36 POÇOS</vt:lpstr>
      <vt:lpstr>QUADRO-RESUMO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proaf-p044507</dc:creator>
  <cp:lastModifiedBy>proaf-p046090</cp:lastModifiedBy>
  <cp:lastPrinted>2018-10-05T12:38:37Z</cp:lastPrinted>
  <dcterms:created xsi:type="dcterms:W3CDTF">2018-10-02T13:13:10Z</dcterms:created>
  <dcterms:modified xsi:type="dcterms:W3CDTF">2018-11-19T11:01:51Z</dcterms:modified>
</cp:coreProperties>
</file>